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9\Конкурс\06. Июнь\МСП_Р_РОN 7 этап\Закупочная\Техническое задание\"/>
    </mc:Choice>
  </mc:AlternateContent>
  <bookViews>
    <workbookView xWindow="0" yWindow="0" windowWidth="24000" windowHeight="9375"/>
  </bookViews>
  <sheets>
    <sheet name="УР PON-7" sheetId="4" r:id="rId1"/>
    <sheet name="Лист1" sheetId="5" state="hidden" r:id="rId2"/>
  </sheets>
  <definedNames>
    <definedName name="_xlnm.Print_Area" localSheetId="0">'УР PON-7'!$A$2:$H$137</definedName>
  </definedNames>
  <calcPr calcId="152511"/>
</workbook>
</file>

<file path=xl/calcChain.xml><?xml version="1.0" encoding="utf-8"?>
<calcChain xmlns="http://schemas.openxmlformats.org/spreadsheetml/2006/main">
  <c r="H120" i="4" l="1"/>
  <c r="H119" i="4"/>
  <c r="H118" i="4"/>
  <c r="H117" i="4"/>
  <c r="H116" i="4"/>
  <c r="H115" i="4"/>
  <c r="H113" i="4"/>
  <c r="H112" i="4"/>
  <c r="H111" i="4"/>
  <c r="H110" i="4"/>
  <c r="H109" i="4"/>
  <c r="H108" i="4"/>
  <c r="H107" i="4"/>
  <c r="H106" i="4"/>
  <c r="H105" i="4"/>
  <c r="H104" i="4"/>
  <c r="G120" i="4"/>
  <c r="G119" i="4"/>
  <c r="G118" i="4"/>
  <c r="G117" i="4"/>
  <c r="G116" i="4"/>
  <c r="G115" i="4"/>
  <c r="G113" i="4"/>
  <c r="G112" i="4"/>
  <c r="G111" i="4"/>
  <c r="G110" i="4"/>
  <c r="G109" i="4"/>
  <c r="G108" i="4"/>
  <c r="G107" i="4"/>
  <c r="G106" i="4"/>
  <c r="G105" i="4"/>
  <c r="G104" i="4"/>
  <c r="H102" i="4"/>
  <c r="H101" i="4"/>
  <c r="H100" i="4"/>
  <c r="H99" i="4"/>
  <c r="H98" i="4"/>
  <c r="G102" i="4"/>
  <c r="G101" i="4"/>
  <c r="G100" i="4"/>
  <c r="G99" i="4"/>
  <c r="G98" i="4"/>
  <c r="H96" i="4"/>
  <c r="H95" i="4"/>
  <c r="G96" i="4"/>
  <c r="G95" i="4"/>
  <c r="H93" i="4"/>
  <c r="H92" i="4"/>
  <c r="G93" i="4"/>
  <c r="G92" i="4"/>
  <c r="H86" i="4"/>
  <c r="H85" i="4"/>
  <c r="H84" i="4"/>
  <c r="H83" i="4"/>
  <c r="H82" i="4"/>
  <c r="H81" i="4"/>
  <c r="H80" i="4"/>
  <c r="H79" i="4"/>
  <c r="H78" i="4"/>
  <c r="H77" i="4"/>
  <c r="H76" i="4"/>
  <c r="H75" i="4"/>
  <c r="H74" i="4"/>
  <c r="H73" i="4"/>
  <c r="H72" i="4"/>
  <c r="H71" i="4"/>
  <c r="H70" i="4"/>
  <c r="H69" i="4"/>
  <c r="H68" i="4"/>
  <c r="G86" i="4"/>
  <c r="G85" i="4"/>
  <c r="G84" i="4"/>
  <c r="G83" i="4"/>
  <c r="G82" i="4"/>
  <c r="G81" i="4"/>
  <c r="G80" i="4"/>
  <c r="G79" i="4"/>
  <c r="G78" i="4"/>
  <c r="G77" i="4"/>
  <c r="G76" i="4"/>
  <c r="G75" i="4"/>
  <c r="G74" i="4"/>
  <c r="G73" i="4"/>
  <c r="G72" i="4"/>
  <c r="G71" i="4"/>
  <c r="G70" i="4"/>
  <c r="G69" i="4"/>
  <c r="G68" i="4"/>
  <c r="H66" i="4"/>
  <c r="H65" i="4"/>
  <c r="H64" i="4"/>
  <c r="H63" i="4"/>
  <c r="H62" i="4"/>
  <c r="H61" i="4"/>
  <c r="H60" i="4"/>
  <c r="H59" i="4"/>
  <c r="G66" i="4"/>
  <c r="G65" i="4"/>
  <c r="G64" i="4"/>
  <c r="G63" i="4"/>
  <c r="G62" i="4"/>
  <c r="G61" i="4"/>
  <c r="G60" i="4"/>
  <c r="G59" i="4"/>
  <c r="H57" i="4"/>
  <c r="H56" i="4"/>
  <c r="H55" i="4"/>
  <c r="G57" i="4"/>
  <c r="G56" i="4"/>
  <c r="G55" i="4"/>
  <c r="H53" i="4"/>
  <c r="H52" i="4"/>
  <c r="G53" i="4"/>
  <c r="G52" i="4"/>
  <c r="H48" i="4"/>
  <c r="H47" i="4"/>
  <c r="H46" i="4"/>
  <c r="H45" i="4"/>
  <c r="H44" i="4"/>
  <c r="G48" i="4"/>
  <c r="G47" i="4"/>
  <c r="G46" i="4"/>
  <c r="G45" i="4"/>
  <c r="G44" i="4"/>
  <c r="H42" i="4"/>
  <c r="H41" i="4"/>
  <c r="H40" i="4"/>
  <c r="H39" i="4"/>
  <c r="G42" i="4"/>
  <c r="G41" i="4"/>
  <c r="G40" i="4"/>
  <c r="G39" i="4"/>
  <c r="H35" i="4"/>
  <c r="H34" i="4"/>
  <c r="G35" i="4"/>
  <c r="G34" i="4"/>
  <c r="H32" i="4"/>
  <c r="H31" i="4"/>
  <c r="H30" i="4"/>
  <c r="H29" i="4"/>
  <c r="G32" i="4"/>
  <c r="G31" i="4"/>
  <c r="G30" i="4"/>
  <c r="G29" i="4"/>
  <c r="H27" i="4"/>
  <c r="H26" i="4"/>
  <c r="H25" i="4"/>
  <c r="H24" i="4"/>
  <c r="G27" i="4"/>
  <c r="G26" i="4"/>
  <c r="G25" i="4"/>
  <c r="G24" i="4"/>
  <c r="H22" i="4"/>
  <c r="G22" i="4"/>
  <c r="H21" i="4"/>
  <c r="G21" i="4"/>
  <c r="H20" i="4"/>
  <c r="G20" i="4"/>
  <c r="H19" i="4"/>
  <c r="G19" i="4"/>
  <c r="H17" i="4"/>
  <c r="G17" i="4"/>
  <c r="H16" i="4"/>
  <c r="G16" i="4"/>
  <c r="H15" i="4"/>
  <c r="G15" i="4"/>
  <c r="H14" i="4"/>
  <c r="G14" i="4"/>
  <c r="K27" i="5" l="1"/>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alcChain>
</file>

<file path=xl/sharedStrings.xml><?xml version="1.0" encoding="utf-8"?>
<sst xmlns="http://schemas.openxmlformats.org/spreadsheetml/2006/main" count="338" uniqueCount="261">
  <si>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</si>
  <si>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</si>
  <si>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</si>
  <si>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</si>
  <si>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</si>
  <si>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</si>
  <si>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</si>
  <si>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</si>
  <si>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</si>
  <si>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</si>
  <si>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</si>
  <si>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</si>
  <si>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</si>
  <si>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</si>
  <si>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</si>
  <si>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</si>
  <si>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</si>
  <si>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</si>
  <si>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</si>
  <si>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</si>
  <si>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</si>
  <si>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</si>
  <si>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</si>
  <si>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</si>
  <si>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</si>
  <si>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</si>
  <si>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1 инсталляция</t>
  </si>
  <si>
    <t>Стоимость работ</t>
  </si>
  <si>
    <t>Монтаж телекоммуникационного шкафа, стойки на станционной или линейной стороне</t>
  </si>
  <si>
    <t>Монтаж контейнера "под ключ".</t>
  </si>
  <si>
    <t>Землеотвод под сооружение</t>
  </si>
  <si>
    <t>1 колодец в комплекте (нестандарт.)</t>
  </si>
  <si>
    <t xml:space="preserve">2.1. Строительство магистральной и распределительной ВОЛС </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</si>
  <si>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</si>
  <si>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1 щит</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</si>
  <si>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</si>
  <si>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</si>
  <si>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</si>
  <si>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</si>
  <si>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</si>
  <si>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</si>
  <si>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</si>
  <si>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</si>
  <si>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</si>
  <si>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</si>
  <si>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</si>
  <si>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</si>
  <si>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</si>
  <si>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</si>
  <si>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</si>
  <si>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</si>
  <si>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</si>
  <si>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</si>
  <si>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</si>
  <si>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</si>
  <si>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</si>
  <si>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</si>
  <si>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</si>
  <si>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</si>
  <si>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</si>
  <si>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</si>
  <si>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</si>
  <si>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</si>
  <si>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</si>
  <si>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</si>
  <si>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</si>
  <si>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</si>
  <si>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</si>
  <si>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</si>
  <si>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</si>
  <si>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</si>
  <si>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</si>
  <si>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</si>
  <si>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</si>
  <si>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</si>
  <si>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</si>
  <si>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</si>
  <si>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</si>
  <si>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</si>
  <si>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</si>
  <si>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</si>
  <si>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</si>
  <si>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</si>
  <si>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</si>
  <si>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</si>
  <si>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</si>
  <si>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</si>
  <si>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</si>
  <si>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</si>
  <si>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</si>
  <si>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</si>
  <si>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</si>
  <si>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</si>
  <si>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</si>
  <si>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</si>
  <si>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</si>
  <si>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</si>
  <si>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</si>
  <si>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</si>
  <si>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</si>
  <si>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</si>
  <si>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</si>
  <si>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ОСТИ ПАО "Башинформсвязь"</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</si>
  <si>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</si>
  <si>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</si>
  <si>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</si>
  <si>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</si>
  <si>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t>200.3</t>
  </si>
  <si>
    <t>403.3</t>
  </si>
  <si>
    <t>418.2</t>
  </si>
  <si>
    <t>Комплект           1 контейнер</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</si>
  <si>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</si>
  <si>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t>ᴕ</t>
  </si>
  <si>
    <t xml:space="preserve">Монтаж розетки электрической 220 В, с заземляющим контактом (евростандарт)  </t>
  </si>
  <si>
    <t>426.1</t>
  </si>
  <si>
    <t>206.1</t>
  </si>
  <si>
    <t xml:space="preserve">2.3. Строительство сетей PON в МКД </t>
  </si>
  <si>
    <t>208.1</t>
  </si>
  <si>
    <t>208.2</t>
  </si>
  <si>
    <t>209.1</t>
  </si>
  <si>
    <t>209.2</t>
  </si>
  <si>
    <t>порт 1-го каскада</t>
  </si>
  <si>
    <t>порт 2-го каскада</t>
  </si>
  <si>
    <t>401.1</t>
  </si>
  <si>
    <t>комплекс измерений</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</si>
  <si>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 с оформлением протоколов на здание</t>
  </si>
  <si>
    <r>
      <t>GPON - стандартное строительство в домах</t>
    </r>
    <r>
      <rPr>
        <b/>
        <sz val="9"/>
        <color theme="1" tint="4.9989318521683403E-2"/>
        <rFont val="Consolas"/>
        <family val="3"/>
        <charset val="204"/>
      </rPr>
      <t xml:space="preserve"> </t>
    </r>
    <r>
      <rPr>
        <b/>
        <sz val="9"/>
        <color rgb="FFFF0000"/>
        <rFont val="Consolas"/>
        <family val="3"/>
        <charset val="204"/>
      </rPr>
      <t>от 3-х этажей</t>
    </r>
    <r>
      <rPr>
        <sz val="9"/>
        <color theme="1" tint="4.9989318521683403E-2"/>
        <rFont val="Consolas"/>
        <family val="3"/>
        <charset val="204"/>
      </rPr>
      <t xml:space="preserve"> </t>
    </r>
    <r>
      <rPr>
        <b/>
        <sz val="9"/>
        <color rgb="FFFF0000"/>
        <rFont val="Consolas"/>
        <family val="3"/>
        <charset val="204"/>
      </rPr>
      <t>и выше</t>
    </r>
    <r>
      <rPr>
        <sz val="9"/>
        <color theme="1" tint="4.9989318521683403E-2"/>
        <rFont val="Consolas"/>
        <family val="3"/>
        <charset val="204"/>
      </rPr>
      <t xml:space="preserve"> (ДРС под 100%, стояки под 100%, ОРШ в каждом доме, ОРК через этаж, нормативная длина магистральных участков ВОЛС в кластере ШПД 500 м на один дом)</t>
    </r>
  </si>
  <si>
    <r>
      <t xml:space="preserve">GPON -  строительство в малоэтажных домах высотой </t>
    </r>
    <r>
      <rPr>
        <b/>
        <sz val="9"/>
        <color rgb="FFFF0000"/>
        <rFont val="Consolas"/>
        <family val="3"/>
        <charset val="204"/>
      </rPr>
      <t>до 3-х этажей и ниже</t>
    </r>
    <r>
      <rPr>
        <sz val="9"/>
        <color theme="1" tint="4.9989318521683403E-2"/>
        <rFont val="Consolas"/>
        <family val="3"/>
        <charset val="204"/>
      </rPr>
      <t xml:space="preserve">  (ОРК - одна на подъезд, ОРШ  на группу домов,  кабель от ОРШ до ОРК методом подвеса, нормативная длина магистральных участков ВОЛС в кластере ШПД  500 м на один дом)</t>
    </r>
  </si>
  <si>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9"/>
        <color rgb="FFFF0000"/>
        <rFont val="Consolas"/>
        <family val="3"/>
        <charset val="204"/>
      </rPr>
      <t>без стоимости оборудования,</t>
    </r>
    <r>
      <rPr>
        <sz val="9"/>
        <color theme="1"/>
        <rFont val="Consolas"/>
        <family val="3"/>
        <charset val="204"/>
      </rPr>
      <t xml:space="preserve"> оформление исполнительной документации по МР и РД. </t>
    </r>
    <r>
      <rPr>
        <sz val="9"/>
        <color rgb="FFFF0000"/>
        <rFont val="Consolas"/>
        <family val="3"/>
        <charset val="204"/>
      </rPr>
      <t>(Все работы производятся в существующих стойках и шкафах)</t>
    </r>
  </si>
  <si>
    <r>
      <t xml:space="preserve">№(код) </t>
    </r>
    <r>
      <rPr>
        <sz val="8"/>
        <color theme="1" tint="4.9989318521683403E-2"/>
        <rFont val="Consolas"/>
        <family val="3"/>
        <charset val="204"/>
      </rPr>
      <t>расценки</t>
    </r>
  </si>
  <si>
    <t>908.2</t>
  </si>
  <si>
    <t xml:space="preserve">комплект           </t>
  </si>
  <si>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</si>
  <si>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</si>
  <si>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</si>
  <si>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</si>
  <si>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</si>
  <si>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</si>
  <si>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</si>
  <si>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</si>
  <si>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</si>
  <si>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</si>
  <si>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</si>
  <si>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</si>
  <si>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</si>
  <si>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</si>
  <si>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</si>
  <si>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</si>
  <si>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</si>
  <si>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</si>
  <si>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</si>
  <si>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</si>
  <si>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</si>
  <si>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</si>
  <si>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</si>
  <si>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</si>
  <si>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</si>
  <si>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</si>
  <si>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</si>
  <si>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</si>
  <si>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</si>
  <si>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</si>
  <si>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</si>
  <si>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исполнительной документации по МР и РД.</t>
    </r>
  </si>
  <si>
    <t>Установка колодца типа ККТМ-1 на существующей кабельной канализации в сегменте малоэтажной застройки, коттеджных посёлках (люк из чугуна с нижней крышкой, шарнирной верхней крышкой и запорным устройством)</t>
  </si>
  <si>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</si>
  <si>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</si>
  <si>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rPr>
        <sz val="9"/>
        <color rgb="FFFF0000"/>
        <rFont val="Consolas"/>
        <family val="3"/>
        <charset val="204"/>
      </rPr>
      <t xml:space="preserve">до </t>
    </r>
    <r>
      <rPr>
        <b/>
        <sz val="9"/>
        <color rgb="FFFF0000"/>
        <rFont val="Consolas"/>
        <family val="3"/>
        <charset val="204"/>
      </rPr>
      <t>12U</t>
    </r>
    <r>
      <rPr>
        <b/>
        <sz val="9"/>
        <rFont val="Consolas"/>
        <family val="3"/>
        <charset val="204"/>
      </rPr>
      <t xml:space="preserve"> </t>
    </r>
    <r>
      <rPr>
        <sz val="9"/>
        <rFont val="Consolas"/>
        <family val="3"/>
        <charset val="204"/>
      </rPr>
      <t>(в том числе ШР-1200, ШР-2400)</t>
    </r>
  </si>
  <si>
    <t xml:space="preserve">до 24U </t>
  </si>
  <si>
    <t xml:space="preserve">до 48U </t>
  </si>
  <si>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</si>
  <si>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 и проч.)  </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</si>
  <si>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9"/>
        <color rgb="FFFF0000"/>
        <rFont val="Consolas"/>
        <family val="3"/>
        <charset val="204"/>
      </rPr>
      <t>с учетом стоимости патч-кордов и расходных материалов</t>
    </r>
    <r>
      <rPr>
        <sz val="9"/>
        <color theme="1"/>
        <rFont val="Consolas"/>
        <family val="3"/>
        <charset val="204"/>
      </rPr>
      <t xml:space="preserve"> (состав для обработки разъемов, баллончик со сжатым воздухом и проч.), </t>
    </r>
    <r>
      <rPr>
        <sz val="9"/>
        <color rgb="FFFF0000"/>
        <rFont val="Consolas"/>
        <family val="3"/>
        <charset val="204"/>
      </rPr>
      <t>без учета стоимости SFP модуля</t>
    </r>
    <r>
      <rPr>
        <sz val="9"/>
        <color theme="1"/>
        <rFont val="Consolas"/>
        <family val="3"/>
        <charset val="204"/>
      </rPr>
      <t>, с учетом прочих расходов (включая транспортные).</t>
    </r>
  </si>
  <si>
    <r>
      <t xml:space="preserve">кабельных каналов ( в т.ч. закладных) и коробов шириной </t>
    </r>
    <r>
      <rPr>
        <b/>
        <sz val="9"/>
        <color rgb="FFFF0000"/>
        <rFont val="Consolas"/>
        <family val="3"/>
        <charset val="204"/>
      </rPr>
      <t>до 100 мм</t>
    </r>
    <r>
      <rPr>
        <sz val="9"/>
        <color rgb="FFFF0000"/>
        <rFont val="Consolas"/>
        <family val="3"/>
        <charset val="204"/>
      </rPr>
      <t xml:space="preserve"> </t>
    </r>
    <r>
      <rPr>
        <sz val="9"/>
        <color rgb="FF000000"/>
        <rFont val="Consolas"/>
        <family val="3"/>
        <charset val="204"/>
      </rPr>
      <t xml:space="preserve">и гофротрубы диаметром </t>
    </r>
    <r>
      <rPr>
        <b/>
        <sz val="9"/>
        <color rgb="FFFF0000"/>
        <rFont val="Consolas"/>
        <family val="3"/>
        <charset val="204"/>
      </rPr>
      <t>до 50мм</t>
    </r>
  </si>
  <si>
    <r>
      <t xml:space="preserve">кабельных каналов ( в т.ч.  закладных) и коробов шириной </t>
    </r>
    <r>
      <rPr>
        <b/>
        <sz val="9"/>
        <color rgb="FFFF0000"/>
        <rFont val="Consolas"/>
        <family val="3"/>
        <charset val="204"/>
      </rPr>
      <t xml:space="preserve">до 200 мм </t>
    </r>
    <r>
      <rPr>
        <sz val="9"/>
        <color theme="1" tint="4.9989318521683403E-2"/>
        <rFont val="Consolas"/>
        <family val="3"/>
        <charset val="204"/>
      </rPr>
      <t xml:space="preserve">и гофротрубы </t>
    </r>
    <r>
      <rPr>
        <b/>
        <sz val="9"/>
        <color rgb="FFFF0000"/>
        <rFont val="Consolas"/>
        <family val="3"/>
        <charset val="204"/>
      </rPr>
      <t>диаметром от 50мм</t>
    </r>
  </si>
  <si>
    <r>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t>
    </r>
    <r>
      <rPr>
        <sz val="9"/>
        <color rgb="FF0070C0"/>
        <rFont val="Consolas"/>
        <family val="3"/>
        <charset val="204"/>
      </rPr>
      <t xml:space="preserve"> 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</si>
  <si>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 xml:space="preserve">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оформление исполнительной документации по МР и РД;  ПНР.</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</si>
  <si>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</si>
  <si>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СМР (</t>
    </r>
    <r>
      <rPr>
        <sz val="9"/>
        <color rgb="FFFF0000"/>
        <rFont val="Consolas"/>
        <family val="3"/>
        <charset val="204"/>
      </rPr>
      <t xml:space="preserve">включая стоимость всех материалов: </t>
    </r>
    <r>
      <rPr>
        <sz val="9"/>
        <rFont val="Consolas"/>
        <family val="3"/>
        <charset val="204"/>
      </rPr>
      <t xml:space="preserve">кабель в негорючем исполнении, с прокладкой и монтажом по стенам, потолкам, конструкциям (крепеж, монтаж)
</t>
    </r>
    <r>
      <rPr>
        <sz val="9"/>
        <color rgb="FFFF0000"/>
        <rFont val="Consolas"/>
        <family val="3"/>
        <charset val="204"/>
      </rPr>
      <t>Применяется дополнительно к расценке 426</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</si>
  <si>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</si>
  <si>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r>
      <t xml:space="preserve">Монтаж оптических  патч-кордов (включая стоимость патч-корда,  монтаж, с учётом расходных и монтажных материалов) </t>
    </r>
    <r>
      <rPr>
        <b/>
        <sz val="9"/>
        <color rgb="FFFF0000"/>
        <rFont val="Consolas"/>
        <family val="3"/>
        <charset val="204"/>
      </rPr>
      <t>до 50 м</t>
    </r>
  </si>
  <si>
    <r>
      <rPr>
        <b/>
        <sz val="9"/>
        <color rgb="FF000000"/>
        <rFont val="Consolas"/>
        <family val="3"/>
        <charset val="204"/>
      </rPr>
      <t xml:space="preserve">Установка стояка </t>
    </r>
    <r>
      <rPr>
        <sz val="9"/>
        <color rgb="FF000000"/>
        <rFont val="Consolas"/>
        <family val="3"/>
        <charset val="204"/>
      </rPr>
      <t>из стальных труб диаметром 60 мм</t>
    </r>
  </si>
  <si>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 )</t>
    </r>
  </si>
  <si>
    <t xml:space="preserve">Монтаж слаботочного щита/межэтажного распределительного щита (шкафа, бокса, ниши) </t>
  </si>
  <si>
    <r>
      <t xml:space="preserve">Монтаж трубостоек на крыше здания для организации  воздушно-кабельных переходов
</t>
    </r>
    <r>
      <rPr>
        <sz val="9"/>
        <rFont val="Consolas"/>
        <family val="3"/>
        <charset val="204"/>
      </rPr>
      <t>(</t>
    </r>
    <r>
      <rPr>
        <sz val="9"/>
        <color rgb="FFFF0000"/>
        <rFont val="Consolas"/>
        <family val="3"/>
        <charset val="204"/>
      </rPr>
      <t>отдельно, не учитывется при подвесе кабеля)</t>
    </r>
  </si>
  <si>
    <r>
      <t xml:space="preserve">Установка автоматического выключателя 
</t>
    </r>
    <r>
      <rPr>
        <sz val="9"/>
        <color rgb="FFFF0000"/>
        <rFont val="Consolas"/>
        <family val="3"/>
        <charset val="204"/>
      </rPr>
      <t>(не применяется совместно с УР №№ 100-199)</t>
    </r>
  </si>
  <si>
    <r>
      <rPr>
        <b/>
        <sz val="9"/>
        <rFont val="Consolas"/>
        <family val="3"/>
        <charset val="204"/>
      </rPr>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t>
    </r>
    <r>
      <rPr>
        <sz val="9"/>
        <rFont val="Consolas"/>
        <family val="3"/>
        <charset val="204"/>
      </rPr>
      <t xml:space="preserve">
</t>
    </r>
    <r>
      <rPr>
        <sz val="9"/>
        <color rgb="FFFF0000"/>
        <rFont val="Consolas"/>
        <family val="3"/>
        <charset val="204"/>
      </rPr>
      <t>(не применяется совместно с УР №№ 100-199)</t>
    </r>
    <r>
      <rPr>
        <sz val="9"/>
        <rFont val="Consolas"/>
        <family val="3"/>
        <charset val="204"/>
      </rPr>
      <t xml:space="preserve">
</t>
    </r>
  </si>
  <si>
    <r>
      <t xml:space="preserve">Монтаж электрического счетчика
</t>
    </r>
    <r>
      <rPr>
        <sz val="9"/>
        <color rgb="FFFF0000"/>
        <rFont val="Consolas"/>
        <family val="3"/>
        <charset val="204"/>
      </rPr>
      <t>(не применяется совместно с УР №№ 100-199)</t>
    </r>
  </si>
  <si>
    <r>
      <t>Установка автоматического выключателя (220 В,50Гц), с номинальным током 16А во вводно-распределительном устройстве здания с подключением до счетчика общедомового учёта ,</t>
    </r>
    <r>
      <rPr>
        <sz val="9"/>
        <color rgb="FFFF0000"/>
        <rFont val="Consolas"/>
        <family val="3"/>
        <charset val="204"/>
      </rPr>
      <t>с учётом стоимости автоматического выключателя и всех расходных и монтажных материалов</t>
    </r>
  </si>
  <si>
    <r>
      <t xml:space="preserve">Монтаж электрического счетчика </t>
    </r>
    <r>
      <rPr>
        <sz val="9"/>
        <color rgb="FFFF0000"/>
        <rFont val="Consolas"/>
        <family val="3"/>
        <charset val="204"/>
      </rPr>
      <t>(с учетом стоимости счетчика и всех расходных и монтажных материалов</t>
    </r>
    <r>
      <rPr>
        <sz val="9"/>
        <rFont val="Consolas"/>
        <family val="3"/>
        <charset val="204"/>
      </rPr>
      <t>),</t>
    </r>
    <r>
      <rPr>
        <sz val="9"/>
        <color rgb="FF0070C0"/>
        <rFont val="Consolas"/>
        <family val="3"/>
        <charset val="204"/>
      </rPr>
      <t>справки о выполнении ТУ от собственников инфраструктуры.</t>
    </r>
  </si>
  <si>
    <t>Монтаж кабельных лотков ,с учетом стоимости лотков, фурнитуры, расходных и монтажных материалов)</t>
  </si>
  <si>
    <t>Монтаж кабельных лотков (металлических,пластиковых и пр.)</t>
  </si>
  <si>
    <r>
      <t>Монтаж оптических  патч-кордов</t>
    </r>
    <r>
      <rPr>
        <b/>
        <sz val="9"/>
        <color rgb="FFFF0000"/>
        <rFont val="Consolas"/>
        <family val="3"/>
        <charset val="204"/>
      </rPr>
      <t xml:space="preserve"> до 50 м</t>
    </r>
    <r>
      <rPr>
        <b/>
        <sz val="9"/>
        <rFont val="Consolas"/>
        <family val="3"/>
        <charset val="204"/>
      </rPr>
      <t xml:space="preserve">
</t>
    </r>
  </si>
  <si>
    <t>Монтаж электрокабеля ВВГнг 3х2,5 мм2</t>
  </si>
  <si>
    <t>СМР, включают в себя, но не ограничиваются:                                                        все материалы и затраты,в т.ч. и на  восстановление благоустройства, дорожного или тротуарного покрытия, получение необходимых согласований и  разрешительной документации,оформление исполнительной документации.</t>
  </si>
  <si>
    <r>
      <rPr>
        <b/>
        <sz val="9"/>
        <rFont val="Consolas"/>
        <family val="3"/>
        <charset val="204"/>
      </rPr>
      <t>Поднятие горловины люка телефонного колодца</t>
    </r>
    <r>
      <rPr>
        <sz val="9"/>
        <rFont val="Consolas"/>
        <family val="3"/>
        <charset val="204"/>
      </rPr>
      <t xml:space="preserve"> ж.б. кольцами до уровня дорожного покрытия. </t>
    </r>
  </si>
  <si>
    <r>
      <t xml:space="preserve">ПИР, включает:выполнение расчета несущей способности в объеме, указанном в соответствующих ТУ собственника опор, в том числе при согласовании проектного решения с организацией, разработавшей документацию на антенно-мачтового сооружения;подготовка отчета в текстовом и графическом виде,согласование его с собственниками инфраструктуры;расчет несущей способности с соответствующим отчетом оформляется в виде отдельного тома;предоставление заключения о возможности подвеса кабеля на опорах.
</t>
    </r>
    <r>
      <rPr>
        <sz val="9"/>
        <color rgb="FFFF0000"/>
        <rFont val="Consolas"/>
        <family val="3"/>
        <charset val="204"/>
      </rPr>
      <t>Применяется по отдельному Заказу.</t>
    </r>
  </si>
  <si>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rFont val="Consolas"/>
        <family val="3"/>
        <charset val="204"/>
      </rPr>
      <t>;бирки на кабель и наклейки на оконечные устройства, внутриобъектовые работы (</t>
    </r>
    <r>
      <rPr>
        <sz val="9"/>
        <color rgb="FFFF0000"/>
        <rFont val="Consolas"/>
        <family val="3"/>
        <charset val="204"/>
      </rPr>
      <t>включая стоимость материалов</t>
    </r>
    <r>
      <rPr>
        <sz val="9"/>
        <color theme="1"/>
        <rFont val="Consolas"/>
        <family val="3"/>
        <charset val="204"/>
      </rPr>
      <t xml:space="preserve">): монтаж кабельростов,кабельных каналов, стоек, оптических кроссов/дроп-муфт/сплиттеров, ОРК , ОРШ </t>
    </r>
    <r>
      <rPr>
        <sz val="9"/>
        <color rgb="FFFF0000"/>
        <rFont val="Consolas"/>
        <family val="3"/>
        <charset val="204"/>
      </rPr>
      <t>(включая стоимость оптических кроссов, сплиттеров/дроп-муфт, ОРК, ОРШ);</t>
    </r>
    <r>
      <rPr>
        <sz val="9"/>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9"/>
        <color rgb="FFFF0000"/>
        <rFont val="Consolas"/>
        <family val="3"/>
        <charset val="204"/>
      </rPr>
      <t>Без учета абонентской разводки.</t>
    </r>
    <r>
      <rPr>
        <sz val="9"/>
        <color theme="1"/>
        <rFont val="Consolas"/>
        <family val="3"/>
        <charset val="204"/>
      </rPr>
      <t xml:space="preserve"> </t>
    </r>
    <r>
      <rPr>
        <sz val="9"/>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</si>
  <si>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9"/>
        <color rgb="FFFF0000"/>
        <rFont val="Consolas"/>
        <family val="3"/>
        <charset val="204"/>
      </rPr>
      <t>до 8</t>
    </r>
    <r>
      <rPr>
        <sz val="9"/>
        <color theme="1"/>
        <rFont val="Consolas"/>
        <family val="3"/>
        <charset val="204"/>
      </rPr>
      <t xml:space="preserve"> волокон</t>
    </r>
  </si>
  <si>
    <r>
      <t xml:space="preserve">ВОК </t>
    </r>
    <r>
      <rPr>
        <b/>
        <sz val="9"/>
        <color rgb="FFFF0000"/>
        <rFont val="Consolas"/>
        <family val="3"/>
        <charset val="204"/>
      </rPr>
      <t>более 48</t>
    </r>
    <r>
      <rPr>
        <sz val="9"/>
        <color theme="1"/>
        <rFont val="Consolas"/>
        <family val="3"/>
        <charset val="204"/>
      </rPr>
      <t xml:space="preserve"> волокон</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</si>
  <si>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9"/>
        <color rgb="FFFF0000"/>
        <rFont val="Consolas"/>
        <family val="3"/>
        <charset val="204"/>
      </rPr>
      <t>включая стоимость материалов</t>
    </r>
    <r>
      <rPr>
        <sz val="9"/>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9"/>
        <color rgb="FFFF0000"/>
        <rFont val="Consolas"/>
        <family val="3"/>
        <charset val="204"/>
      </rPr>
      <t xml:space="preserve">(включая стоимость оптических кроссов, сплиттеров, ОРК, ОРШ); </t>
    </r>
    <r>
      <rPr>
        <sz val="9"/>
        <color theme="1" tint="4.9989318521683403E-2"/>
        <rFont val="Consolas"/>
        <family val="3"/>
        <charset val="204"/>
      </rPr>
      <t xml:space="preserve">оконечивание кабеля с обеих сторон, </t>
    </r>
    <r>
      <rPr>
        <sz val="9"/>
        <color rgb="FFFF0000"/>
        <rFont val="Consolas"/>
        <family val="3"/>
        <charset val="204"/>
      </rPr>
      <t>включая работы по восстановлению дорожных и тротуарных покрытий и благоустройству;</t>
    </r>
    <r>
      <rPr>
        <sz val="9"/>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 исполнительной документации по МР и РД. Без учета абонентской разводки. </t>
    </r>
    <r>
      <rPr>
        <sz val="9"/>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</si>
  <si>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9"/>
        <color rgb="FFFF0000"/>
        <rFont val="Consolas"/>
        <family val="3"/>
        <charset val="204"/>
      </rPr>
      <t>до 8</t>
    </r>
    <r>
      <rPr>
        <sz val="9"/>
        <color rgb="FFFF0000"/>
        <rFont val="Consolas"/>
        <family val="3"/>
        <charset val="204"/>
      </rPr>
      <t xml:space="preserve"> </t>
    </r>
    <r>
      <rPr>
        <sz val="9"/>
        <color theme="1"/>
        <rFont val="Consolas"/>
        <family val="3"/>
        <charset val="204"/>
      </rPr>
      <t>волокон</t>
    </r>
  </si>
  <si>
    <r>
      <t>ВОК</t>
    </r>
    <r>
      <rPr>
        <sz val="9"/>
        <color rgb="FFFF0000"/>
        <rFont val="Consolas"/>
        <family val="3"/>
        <charset val="204"/>
      </rPr>
      <t xml:space="preserve"> </t>
    </r>
    <r>
      <rPr>
        <b/>
        <sz val="9"/>
        <color rgb="FFFF0000"/>
        <rFont val="Consolas"/>
        <family val="3"/>
        <charset val="204"/>
      </rPr>
      <t>до 8</t>
    </r>
    <r>
      <rPr>
        <sz val="9"/>
        <color theme="1"/>
        <rFont val="Consolas"/>
        <family val="3"/>
        <charset val="204"/>
      </rPr>
      <t xml:space="preserve"> волокон</t>
    </r>
  </si>
  <si>
    <r>
      <t xml:space="preserve">Инсталляционные работы GPON/P2P
для предварительной инсталяции </t>
    </r>
    <r>
      <rPr>
        <b/>
        <sz val="9"/>
        <color rgb="FFFF0000"/>
        <rFont val="Consolas"/>
        <family val="3"/>
        <charset val="204"/>
      </rPr>
      <t>во время строительства основной сети кластера</t>
    </r>
  </si>
  <si>
    <r>
      <t xml:space="preserve">Строительство сетей абонентского доступа по технологии PON в сегменте МКД </t>
    </r>
    <r>
      <rPr>
        <b/>
        <sz val="9"/>
        <color rgb="FFFF0000"/>
        <rFont val="Consolas"/>
        <family val="3"/>
        <charset val="204"/>
      </rPr>
      <t>(малоэтажный):</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</si>
  <si>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 xml:space="preserve"> 50 % </t>
    </r>
  </si>
  <si>
    <r>
      <rPr>
        <sz val="9"/>
        <color theme="1"/>
        <rFont val="Consolas"/>
        <family val="3"/>
        <charset val="204"/>
      </rPr>
      <t>для Домохозяйств, охваченных по технологии PON с проникновением</t>
    </r>
    <r>
      <rPr>
        <b/>
        <sz val="9"/>
        <color theme="1"/>
        <rFont val="Consolas"/>
        <family val="3"/>
        <charset val="204"/>
      </rPr>
      <t xml:space="preserve">  </t>
    </r>
    <r>
      <rPr>
        <b/>
        <sz val="9"/>
        <color rgb="FFFF0000"/>
        <rFont val="Consolas"/>
        <family val="3"/>
        <charset val="204"/>
      </rPr>
      <t>100 %</t>
    </r>
  </si>
  <si>
    <r>
      <t xml:space="preserve">Строительство сетей абонентского доступа по технологии GPON в сегменте МКД </t>
    </r>
    <r>
      <rPr>
        <b/>
        <sz val="9"/>
        <color rgb="FFFF0000"/>
        <rFont val="Consolas"/>
        <family val="3"/>
        <charset val="204"/>
      </rPr>
      <t>стандартной застройки:</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</si>
  <si>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50 % </t>
    </r>
  </si>
  <si>
    <r>
      <rPr>
        <sz val="9"/>
        <color theme="1"/>
        <rFont val="Consolas"/>
        <family val="3"/>
        <charset val="204"/>
      </rPr>
      <t xml:space="preserve">для Домохозяйств, охваченных по технологии PON с проникновением </t>
    </r>
    <r>
      <rPr>
        <b/>
        <sz val="9"/>
        <color theme="1"/>
        <rFont val="Consolas"/>
        <family val="3"/>
        <charset val="204"/>
      </rPr>
      <t xml:space="preserve"> </t>
    </r>
    <r>
      <rPr>
        <b/>
        <sz val="9"/>
        <color rgb="FFFF0000"/>
        <rFont val="Consolas"/>
        <family val="3"/>
        <charset val="204"/>
      </rPr>
      <t xml:space="preserve">100 % </t>
    </r>
  </si>
  <si>
    <r>
      <t xml:space="preserve">то же,что и </t>
    </r>
    <r>
      <rPr>
        <b/>
        <sz val="9"/>
        <color rgb="FFFF0000"/>
        <rFont val="Consolas"/>
        <family val="3"/>
        <charset val="204"/>
      </rPr>
      <t>УР 206</t>
    </r>
    <r>
      <rPr>
        <sz val="9"/>
        <color theme="1"/>
        <rFont val="Consolas"/>
        <family val="3"/>
        <charset val="204"/>
      </rPr>
      <t xml:space="preserve">, </t>
    </r>
    <r>
      <rPr>
        <sz val="9"/>
        <color rgb="FFFF0000"/>
        <rFont val="Consolas"/>
        <family val="3"/>
        <charset val="204"/>
      </rPr>
      <t>без разводки по помещению абонента и установки клиентского оборудования и пр.</t>
    </r>
  </si>
  <si>
    <r>
      <rPr>
        <b/>
        <sz val="9"/>
        <color rgb="FF000000"/>
        <rFont val="Consolas"/>
        <family val="3"/>
        <charset val="204"/>
      </rPr>
      <t>Монтаж/Замена патч-корда с монтажом/заменой SFP модуля (при необходимости) при длине патч-корда</t>
    </r>
    <r>
      <rPr>
        <sz val="9"/>
        <color rgb="FFFF0000"/>
        <rFont val="Consolas"/>
        <family val="3"/>
        <charset val="204"/>
      </rPr>
      <t xml:space="preserve"> </t>
    </r>
    <r>
      <rPr>
        <b/>
        <sz val="9"/>
        <color rgb="FFFF0000"/>
        <rFont val="Consolas"/>
        <family val="3"/>
        <charset val="204"/>
      </rPr>
      <t xml:space="preserve">до 3 м
</t>
    </r>
    <r>
      <rPr>
        <sz val="9"/>
        <color rgb="FFFF0000"/>
        <rFont val="Consolas"/>
        <family val="3"/>
        <charset val="204"/>
      </rPr>
      <t>(применяется только на  существующей кабельной линии при разрыве колец)</t>
    </r>
  </si>
  <si>
    <r>
      <rPr>
        <b/>
        <sz val="9"/>
        <color rgb="FF000000"/>
        <rFont val="Consolas"/>
        <family val="3"/>
        <charset val="204"/>
      </rPr>
      <t>Монтаж/Замена патч-корда с монтажом/заменой SFP модуля (при необходимости) при длине патч-корда</t>
    </r>
    <r>
      <rPr>
        <sz val="9"/>
        <color rgb="FF000000"/>
        <rFont val="Consolas"/>
        <family val="3"/>
        <charset val="204"/>
      </rPr>
      <t xml:space="preserve"> </t>
    </r>
    <r>
      <rPr>
        <b/>
        <sz val="9"/>
        <color rgb="FFFF0000"/>
        <rFont val="Consolas"/>
        <family val="3"/>
        <charset val="204"/>
      </rPr>
      <t xml:space="preserve">свыше 3 м
</t>
    </r>
    <r>
      <rPr>
        <sz val="9"/>
        <color rgb="FFFF0000"/>
        <rFont val="Consolas"/>
        <family val="3"/>
        <charset val="204"/>
      </rPr>
      <t>(применяется только на  существующей кабельной линии при разрыве колец)</t>
    </r>
  </si>
  <si>
    <t>422.1</t>
  </si>
  <si>
    <r>
      <t xml:space="preserve">Сварка/переварка ОВ оконечных устройств (ODF) 
</t>
    </r>
    <r>
      <rPr>
        <sz val="9"/>
        <color rgb="FFFF0000"/>
        <rFont val="Consolas"/>
        <family val="3"/>
        <charset val="204"/>
      </rPr>
      <t>(не применяется совместно с любыми УР на прокладку ВОК)</t>
    </r>
  </si>
  <si>
    <t>422.2</t>
  </si>
  <si>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кроссов и пр.). </t>
    </r>
    <r>
      <rPr>
        <sz val="9"/>
        <color rgb="FFFF0000"/>
        <rFont val="Consolas"/>
        <family val="3"/>
        <charset val="204"/>
      </rPr>
      <t>Без стоимости опт. кроссов</t>
    </r>
  </si>
  <si>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муфт и пр.). </t>
    </r>
    <r>
      <rPr>
        <sz val="9"/>
        <color rgb="FFFF0000"/>
        <rFont val="Consolas"/>
        <family val="3"/>
        <charset val="204"/>
      </rPr>
      <t>Без стоимости муфт и их комплектующих</t>
    </r>
  </si>
  <si>
    <r>
      <t xml:space="preserve">ВОК </t>
    </r>
    <r>
      <rPr>
        <b/>
        <sz val="9"/>
        <color rgb="FFFF0000"/>
        <rFont val="Consolas"/>
        <family val="3"/>
        <charset val="204"/>
      </rPr>
      <t>от 9  до 24</t>
    </r>
    <r>
      <rPr>
        <sz val="9"/>
        <color theme="1"/>
        <rFont val="Consolas"/>
        <family val="3"/>
        <charset val="204"/>
      </rPr>
      <t xml:space="preserve"> волокон</t>
    </r>
  </si>
  <si>
    <r>
      <t xml:space="preserve">ВОК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25 до 48</t>
    </r>
    <r>
      <rPr>
        <sz val="9"/>
        <color theme="1"/>
        <rFont val="Consolas"/>
        <family val="3"/>
        <charset val="204"/>
      </rPr>
      <t xml:space="preserve"> волокон</t>
    </r>
  </si>
  <si>
    <r>
      <t xml:space="preserve">ВОК </t>
    </r>
    <r>
      <rPr>
        <b/>
        <sz val="9"/>
        <color rgb="FFFF0000"/>
        <rFont val="Consolas"/>
        <family val="3"/>
        <charset val="204"/>
      </rPr>
      <t>от 9 до 24</t>
    </r>
    <r>
      <rPr>
        <sz val="9"/>
        <color rgb="FFFF0000"/>
        <rFont val="Consolas"/>
        <family val="3"/>
        <charset val="204"/>
      </rPr>
      <t xml:space="preserve"> </t>
    </r>
    <r>
      <rPr>
        <sz val="9"/>
        <color theme="1"/>
        <rFont val="Consolas"/>
        <family val="3"/>
        <charset val="204"/>
      </rPr>
      <t>волокон</t>
    </r>
  </si>
  <si>
    <r>
      <t xml:space="preserve">ВОК </t>
    </r>
    <r>
      <rPr>
        <b/>
        <sz val="9"/>
        <color rgb="FFFF0000"/>
        <rFont val="Consolas"/>
        <family val="3"/>
        <charset val="204"/>
      </rPr>
      <t>от 25 до 48</t>
    </r>
    <r>
      <rPr>
        <sz val="9"/>
        <color theme="1"/>
        <rFont val="Consolas"/>
        <family val="3"/>
        <charset val="204"/>
      </rPr>
      <t xml:space="preserve"> волокон</t>
    </r>
  </si>
  <si>
    <r>
      <t xml:space="preserve">ВОК </t>
    </r>
    <r>
      <rPr>
        <b/>
        <sz val="9"/>
        <color rgb="FFFF0000"/>
        <rFont val="Consolas"/>
        <family val="3"/>
        <charset val="204"/>
      </rPr>
      <t>от 9 до 24</t>
    </r>
    <r>
      <rPr>
        <sz val="9"/>
        <color theme="1"/>
        <rFont val="Consolas"/>
        <family val="3"/>
        <charset val="204"/>
      </rPr>
      <t xml:space="preserve"> волокон</t>
    </r>
  </si>
  <si>
    <r>
      <rPr>
        <sz val="9"/>
        <color theme="1"/>
        <rFont val="Consolas"/>
        <family val="3"/>
        <charset val="204"/>
      </rPr>
      <t>ВОК</t>
    </r>
    <r>
      <rPr>
        <b/>
        <sz val="9"/>
        <color theme="1"/>
        <rFont val="Consolas"/>
        <family val="3"/>
        <charset val="204"/>
      </rPr>
      <t xml:space="preserve"> </t>
    </r>
    <r>
      <rPr>
        <b/>
        <sz val="9"/>
        <color rgb="FFFF0000"/>
        <rFont val="Consolas"/>
        <family val="3"/>
        <charset val="204"/>
      </rPr>
      <t>от 25 до 48</t>
    </r>
    <r>
      <rPr>
        <b/>
        <sz val="9"/>
        <color theme="1"/>
        <rFont val="Consolas"/>
        <family val="3"/>
        <charset val="204"/>
      </rPr>
      <t xml:space="preserve"> </t>
    </r>
    <r>
      <rPr>
        <sz val="9"/>
        <color theme="1"/>
        <rFont val="Consolas"/>
        <family val="3"/>
        <charset val="204"/>
      </rPr>
      <t>волокон</t>
    </r>
  </si>
  <si>
    <r>
      <t xml:space="preserve">ПИР,СМР, прочие затраты, не ограничиваясь перечисленным: монтаж стальной трубы для стойки (60х14) </t>
    </r>
    <r>
      <rPr>
        <sz val="9"/>
        <color rgb="FFFF0000"/>
        <rFont val="Consolas"/>
        <family val="3"/>
        <charset val="204"/>
      </rPr>
      <t>с учетом всех материалов и трубостойки</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</si>
  <si>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408.1</t>
  </si>
  <si>
    <r>
      <t xml:space="preserve">Монтаж/замена патч-корда длиной </t>
    </r>
    <r>
      <rPr>
        <b/>
        <sz val="9"/>
        <color rgb="FFFF0000"/>
        <rFont val="Consolas"/>
        <family val="3"/>
        <charset val="204"/>
      </rPr>
      <t>свыше 3 м</t>
    </r>
    <r>
      <rPr>
        <sz val="9"/>
        <color rgb="FF000000"/>
        <rFont val="Consolas"/>
        <family val="3"/>
        <charset val="204"/>
      </rPr>
      <t xml:space="preserve">
(duplex/simpex, любой разъем, любая полировка)</t>
    </r>
  </si>
  <si>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</si>
  <si>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</si>
  <si>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</si>
  <si>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</si>
  <si>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 xml:space="preserve">ПИР, СМР, </t>
    </r>
    <r>
      <rPr>
        <sz val="9"/>
        <color rgb="FFFF0000"/>
        <rFont val="Consolas"/>
        <family val="3"/>
        <charset val="204"/>
      </rPr>
      <t>включая стимость всех материалов и комплектующих:</t>
    </r>
    <r>
      <rPr>
        <sz val="9"/>
        <color theme="1" tint="4.9989318521683403E-2"/>
        <rFont val="Consolas"/>
        <family val="3"/>
        <charset val="204"/>
      </rPr>
      <t xml:space="preserve">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м)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</si>
  <si>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t>Примечание: прокладка в трубах подразумевает обязательное использование труб ПНД d=20 мм  и типа-тяжёлые с протяжкой (зондом), при прокладке под заливку полов и т.п.</t>
  </si>
  <si>
    <t>403.4</t>
  </si>
  <si>
    <t>403.4.1</t>
  </si>
  <si>
    <t>403.4.2</t>
  </si>
  <si>
    <t>до 9U</t>
  </si>
  <si>
    <t>до 15U</t>
  </si>
  <si>
    <t>Монтаж телекоммуникационного  шкафа (антивандального ) для сетей FTTB :</t>
  </si>
  <si>
    <t>только для сетей FTTB ,без комплексных услуг</t>
  </si>
  <si>
    <t>СМР (включая стоимость всех материалов: розетки, с установкой в существующем узле доступа/узле связи/помещении Клиента, при модернизации системы электропитания оборудования (крепеж, монтаж, подключение к электропроводке)</t>
  </si>
  <si>
    <t xml:space="preserve">Примечания. </t>
  </si>
  <si>
    <t xml:space="preserve">1 км трассы </t>
  </si>
  <si>
    <r>
      <t xml:space="preserve">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 бирки, сигнальные (опозновательные) ленты;внутриобъектовые работы, </t>
    </r>
    <r>
      <rPr>
        <sz val="9"/>
        <color rgb="FFFF0000"/>
        <rFont val="Consolas"/>
        <family val="3"/>
        <charset val="204"/>
      </rPr>
      <t>включая стоимость материалов и конструкций</t>
    </r>
    <r>
      <rPr>
        <sz val="9"/>
        <color theme="1" tint="4.9989318521683403E-2"/>
        <rFont val="Consolas"/>
        <family val="3"/>
        <charset val="204"/>
      </rPr>
      <t>: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оформление комплекта исполнительной документации по МР и РД</t>
    </r>
  </si>
  <si>
    <r>
      <t>Установка/замена  опор</t>
    </r>
    <r>
      <rPr>
        <b/>
        <vertAlign val="superscript"/>
        <sz val="10"/>
        <color rgb="FFFF0000"/>
        <rFont val="Consolas"/>
        <family val="3"/>
        <charset val="204"/>
      </rPr>
      <t>18</t>
    </r>
    <r>
      <rPr>
        <sz val="9"/>
        <color rgb="FFFF0000"/>
        <rFont val="Consolas"/>
        <family val="3"/>
        <charset val="204"/>
      </rPr>
      <t xml:space="preserve"> </t>
    </r>
    <r>
      <rPr>
        <sz val="9"/>
        <color rgb="FF000000"/>
        <rFont val="Consolas"/>
        <family val="3"/>
        <charset val="204"/>
      </rPr>
      <t>(</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</si>
  <si>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r>
      <rPr>
        <b/>
        <sz val="9"/>
        <color theme="1"/>
        <rFont val="Consolas"/>
        <family val="3"/>
        <charset val="204"/>
      </rPr>
      <t>Установка/замена опор</t>
    </r>
    <r>
      <rPr>
        <b/>
        <vertAlign val="superscript"/>
        <sz val="10"/>
        <color rgb="FFFF0000"/>
        <rFont val="Consolas"/>
        <family val="3"/>
        <charset val="204"/>
      </rPr>
      <t>18</t>
    </r>
    <r>
      <rPr>
        <b/>
        <sz val="9"/>
        <color theme="1"/>
        <rFont val="Consolas"/>
        <family val="3"/>
        <charset val="204"/>
      </rPr>
      <t xml:space="preserve"> железобетонных </t>
    </r>
    <r>
      <rPr>
        <sz val="9"/>
        <color theme="1"/>
        <rFont val="Consolas"/>
        <family val="3"/>
        <charset val="204"/>
      </rPr>
      <t>(полный комплекс работ)</t>
    </r>
  </si>
  <si>
    <r>
      <t xml:space="preserve">Примечание:угловые,переходные,оконечные опоры при выполнении в варианте опора с укосиной (подпорой) учитываются стоимостью усреднённого состава работ в  </t>
    </r>
    <r>
      <rPr>
        <b/>
        <sz val="10"/>
        <color rgb="FFFF0000"/>
        <rFont val="Consolas"/>
        <family val="3"/>
        <charset val="204"/>
      </rPr>
      <t>УР 904 и 904.1.</t>
    </r>
    <r>
      <rPr>
        <sz val="10"/>
        <color theme="1"/>
        <rFont val="Consolas"/>
        <family val="3"/>
        <charset val="204"/>
      </rPr>
      <t xml:space="preserve"> Такие опоры считаются конструктивно как одна опора.Необходимость их использования определяется составом рабочей документации и положениями действующей редакции Руководства по строительству линейных сооружений связи</t>
    </r>
  </si>
  <si>
    <r>
      <t>ПИР;СМР;ПНР,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</si>
  <si>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801</t>
    </r>
    <r>
      <rPr>
        <sz val="9"/>
        <rFont val="Consolas"/>
        <family val="3"/>
        <charset val="204"/>
      </rPr>
      <t xml:space="preserve">), установка ЩРУН (щиток учетно-распределительный), установка узлов учета электрической энергии,УЗО,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</si>
  <si>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r>
      <rPr>
        <b/>
        <sz val="9"/>
        <color theme="1"/>
        <rFont val="Consolas"/>
        <family val="3"/>
        <charset val="204"/>
      </rPr>
      <t xml:space="preserve">Прокладка и монтаж ВОК </t>
    </r>
    <r>
      <rPr>
        <b/>
        <sz val="9"/>
        <color rgb="FFFF0000"/>
        <rFont val="Consolas"/>
        <family val="3"/>
        <charset val="204"/>
      </rPr>
      <t>в кабельной канализации</t>
    </r>
    <r>
      <rPr>
        <sz val="9"/>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</si>
  <si>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Прокладка и монтаж ВОК</t>
    </r>
    <r>
      <rPr>
        <b/>
        <sz val="9"/>
        <color rgb="FFFF0000"/>
        <rFont val="Consolas"/>
        <family val="3"/>
        <charset val="204"/>
      </rPr>
      <t xml:space="preserve"> в грунте</t>
    </r>
    <r>
      <rPr>
        <sz val="9"/>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</si>
  <si>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 xml:space="preserve">Прокладка и монтаж ВОК </t>
    </r>
    <r>
      <rPr>
        <sz val="9"/>
        <color theme="1"/>
        <rFont val="Consolas"/>
        <family val="3"/>
        <charset val="204"/>
      </rPr>
      <t xml:space="preserve">  </t>
    </r>
    <r>
      <rPr>
        <b/>
        <sz val="9"/>
        <color rgb="FFFF0000"/>
        <rFont val="Consolas"/>
        <family val="3"/>
        <charset val="204"/>
      </rPr>
      <t xml:space="preserve">по существующим опорам </t>
    </r>
    <r>
      <rPr>
        <sz val="9"/>
        <color theme="1"/>
        <rFont val="Consolas"/>
        <family val="3"/>
        <charset val="204"/>
      </rPr>
      <t xml:space="preserve">(в т.ч. и по трубостойкам между зданиями)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</si>
  <si>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rFont val="Consolas"/>
        <family val="3"/>
        <charset val="204"/>
      </rPr>
      <t>Прокладка и монтаж ВОК</t>
    </r>
    <r>
      <rPr>
        <sz val="9"/>
        <color theme="1"/>
        <rFont val="Consolas"/>
        <family val="3"/>
        <charset val="204"/>
      </rPr>
      <t xml:space="preserve"> </t>
    </r>
    <r>
      <rPr>
        <b/>
        <sz val="9"/>
        <color rgb="FFFF0000"/>
        <rFont val="Consolas"/>
        <family val="3"/>
        <charset val="204"/>
      </rPr>
      <t xml:space="preserve">с установкой опор
</t>
    </r>
    <r>
      <rPr>
        <sz val="9"/>
        <color theme="1" tint="4.9989318521683403E-2"/>
        <rFont val="Consolas"/>
        <family val="3"/>
        <charset val="204"/>
      </rPr>
      <t xml:space="preserve">(при среднем расстоянии между опорами - </t>
    </r>
    <r>
      <rPr>
        <b/>
        <sz val="9"/>
        <color rgb="FFFF0000"/>
        <rFont val="Consolas"/>
        <family val="3"/>
        <charset val="204"/>
      </rPr>
      <t>до 40 м</t>
    </r>
    <r>
      <rPr>
        <sz val="9"/>
        <color rgb="FFFF0000"/>
        <rFont val="Consolas"/>
        <family val="3"/>
        <charset val="204"/>
      </rPr>
      <t xml:space="preserve">. </t>
    </r>
    <r>
      <rPr>
        <sz val="9"/>
        <color theme="1" tint="4.9989318521683403E-2"/>
        <rFont val="Consolas"/>
        <family val="3"/>
        <charset val="204"/>
      </rPr>
      <t xml:space="preserve">на прямолинейных участках трассы ).                                                                                          </t>
    </r>
    <r>
      <rPr>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 (см. примечание 16)</t>
    </r>
  </si>
  <si>
    <r>
      <t xml:space="preserve">Примечание: в УР на прокладку кабелей с примечанием вида </t>
    </r>
    <r>
      <rPr>
        <sz val="10"/>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</si>
  <si>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r>
      <t xml:space="preserve">ПИР (включая предварительную рабочую документацию); СМР, включая установку опор (включая стоимость опор, в т.ч. и с укосинами/подпорами,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t>
    </r>
    <r>
      <rPr>
        <sz val="9"/>
        <color rgb="FF0070C0"/>
        <rFont val="Consolas"/>
        <family val="3"/>
        <charset val="204"/>
      </rPr>
      <t>подрезка крон деревьев,</t>
    </r>
    <r>
      <rPr>
        <sz val="9"/>
        <color theme="1"/>
        <rFont val="Consolas"/>
        <family val="3"/>
        <charset val="204"/>
      </rPr>
      <t xml:space="preserve">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9"/>
        <color rgb="FFFF0000"/>
        <rFont val="Consolas"/>
        <family val="3"/>
        <charset val="204"/>
      </rPr>
      <t>с учетом стоимости материалов</t>
    </r>
    <r>
      <rPr>
        <sz val="9"/>
        <color theme="1"/>
        <rFont val="Consolas"/>
        <family val="3"/>
        <charset val="204"/>
      </rPr>
      <t xml:space="preserve">): монтаж кабельростов, кабельных каналов,стоек, оптических кроссов/дроп-муфт/сплиттеров, ОРК, ОРШ </t>
    </r>
    <r>
      <rPr>
        <sz val="9"/>
        <color rgb="FFFF0000"/>
        <rFont val="Consolas"/>
        <family val="3"/>
        <charset val="204"/>
      </rPr>
      <t>(включая стоимость оптических кроссов, сплиттеров, ОРК, ОРШ)</t>
    </r>
    <r>
      <rPr>
        <sz val="9"/>
        <color theme="1"/>
        <rFont val="Consolas"/>
        <family val="3"/>
        <charset val="204"/>
      </rPr>
      <t xml:space="preserve">; 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исполнительной документации по МР и РД. </t>
    </r>
    <r>
      <rPr>
        <sz val="9"/>
        <color rgb="FFFF0000"/>
        <rFont val="Consolas"/>
        <family val="3"/>
        <charset val="204"/>
      </rPr>
      <t>Протяженность трассы  - длина прокладываемого кабеля до оптического кросса.</t>
    </r>
  </si>
  <si>
    <t>Монтаж климатического телекоммуникационного шкафа (термошкафа) "под ключ"</t>
  </si>
  <si>
    <r>
      <rPr>
        <b/>
        <sz val="9"/>
        <rFont val="Consolas"/>
        <family val="3"/>
        <charset val="204"/>
      </rPr>
      <t>Работы по выполнению расчета несущей способности опор</t>
    </r>
    <r>
      <rPr>
        <sz val="9"/>
        <rFont val="Consolas"/>
        <family val="3"/>
        <charset val="204"/>
      </rPr>
      <t xml:space="preserve">
</t>
    </r>
    <r>
      <rPr>
        <sz val="9"/>
        <color rgb="FFFF0000"/>
        <rFont val="Consolas"/>
        <family val="3"/>
        <charset val="204"/>
      </rPr>
      <t>(в случае необходимости при наличии данного пункта в ТУ от владельца инфраструктуры)</t>
    </r>
    <r>
      <rPr>
        <sz val="9"/>
        <rFont val="Consolas"/>
        <family val="3"/>
        <charset val="204"/>
      </rPr>
      <t>.</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</si>
  <si>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t>
    </r>
    <r>
      <rPr>
        <sz val="9"/>
        <color rgb="FF0070C0"/>
        <rFont val="Consolas"/>
        <family val="3"/>
        <charset val="204"/>
      </rPr>
      <t>выравнивание, установка оттяжек, перевязка опор и пр.; подрезка крон деревьев,</t>
    </r>
    <r>
      <rPr>
        <sz val="9"/>
        <color theme="1"/>
        <rFont val="Consolas"/>
        <family val="3"/>
        <charset val="204"/>
      </rPr>
      <t xml:space="preserve">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9"/>
        <color rgb="FFFF0000"/>
        <rFont val="Consolas"/>
        <family val="3"/>
        <charset val="204"/>
      </rPr>
      <t>включая стоимость материалов</t>
    </r>
    <r>
      <rPr>
        <sz val="9"/>
        <color theme="1"/>
        <rFont val="Consolas"/>
        <family val="3"/>
        <charset val="204"/>
      </rPr>
      <t xml:space="preserve">): монтаж кабельростов,кабельных каналов, стоек, оптических кроссов/дроп-муфт/сплиттеров, ОРК, ОРШ </t>
    </r>
    <r>
      <rPr>
        <sz val="9"/>
        <color rgb="FFFF0000"/>
        <rFont val="Consolas"/>
        <family val="3"/>
        <charset val="204"/>
      </rPr>
      <t>(включая стоимость оптических кроссов, сплиттеров, ОРК, ОРШ)</t>
    </r>
    <r>
      <rPr>
        <sz val="9"/>
        <color theme="1"/>
        <rFont val="Consolas"/>
        <family val="3"/>
        <charset val="204"/>
      </rPr>
      <t xml:space="preserve">;оконечивание кабеля с обеих сторон; проведение всех  измерений ВОК; постановка на кадастровый учёт;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;исполнительной документации по МР и РД.  </t>
    </r>
    <r>
      <rPr>
        <sz val="9"/>
        <color rgb="FFFF0000"/>
        <rFont val="Consolas"/>
        <family val="3"/>
        <charset val="204"/>
      </rPr>
      <t>Протяженность трассы  - длина прокладываемого кабеля до оптического кросса.</t>
    </r>
  </si>
  <si>
    <t xml:space="preserve">Удельные расценки (УР) ПАО "Башинформсвязь"на виды работ при строительстве объекта связи PON этап 7    </t>
  </si>
  <si>
    <t>Приложение № 7 к Техническому заданию</t>
  </si>
  <si>
    <r>
      <t xml:space="preserve">Прокладка и монтаж ВОК </t>
    </r>
    <r>
      <rPr>
        <b/>
        <sz val="9"/>
        <color rgb="FFFF0000"/>
        <rFont val="Consolas"/>
        <family val="3"/>
        <charset val="204"/>
      </rPr>
      <t>в кабельной канализации, в грунте, по опорам, по зданиям и конструкциям</t>
    </r>
    <r>
      <rPr>
        <b/>
        <sz val="9"/>
        <color theme="1"/>
        <rFont val="Consolas"/>
        <family val="3"/>
        <charset val="204"/>
      </rPr>
      <t xml:space="preserve"> (при превышении длины магистральных участков ВОЛС 500 м на дом).
</t>
    </r>
    <r>
      <rPr>
        <b/>
        <sz val="9"/>
        <color rgb="FFFF0000"/>
        <rFont val="Consolas"/>
        <family val="3"/>
        <charset val="204"/>
      </rPr>
      <t xml:space="preserve">Только для PON в МКД </t>
    </r>
    <r>
      <rPr>
        <b/>
        <sz val="9"/>
        <color theme="1"/>
        <rFont val="Consolas"/>
        <family val="3"/>
        <charset val="204"/>
      </rPr>
      <t xml:space="preserve">                                                                                     </t>
    </r>
    <r>
      <rPr>
        <i/>
        <sz val="9"/>
        <color rgb="FFFF0000"/>
        <rFont val="Consolas"/>
        <family val="3"/>
        <charset val="204"/>
      </rPr>
      <t>В случае, если общая протяженность трассы ВОК менее 100 м, стоимость приравнивается к удельной стоимости участка = 100 м. независимо от фактической длины(см. примечание 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</si>
</sst>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38">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b/>
      <sz val="10"/>
      <name val="Times New Roman"/>
      <family val="1"/>
      <charset val="204"/>
    </font>
    <font>
      <sz val="10"/>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9"/>
      <name val="Times New Roman"/>
      <family val="1"/>
      <charset val="204"/>
    </font>
    <font>
      <u/>
      <sz val="11"/>
      <color theme="10"/>
      <name val="Calibri"/>
      <family val="2"/>
      <charset val="204"/>
      <scheme val="minor"/>
    </font>
    <font>
      <sz val="14"/>
      <color theme="1"/>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4"/>
      <color theme="1" tint="0.14999847407452621"/>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b/>
      <sz val="10"/>
      <color rgb="FF8C4799"/>
      <name val="Consolas"/>
      <family val="3"/>
      <charset val="204"/>
    </font>
    <font>
      <sz val="8"/>
      <color theme="1"/>
      <name val="Consolas"/>
      <family val="3"/>
      <charset val="204"/>
    </font>
    <font>
      <sz val="8"/>
      <color rgb="FFFF0000"/>
      <name val="Consolas"/>
      <family val="3"/>
      <charset val="204"/>
    </font>
    <font>
      <b/>
      <vertAlign val="superscript"/>
      <sz val="10"/>
      <color rgb="FFFF0000"/>
      <name val="Consolas"/>
      <family val="3"/>
      <charset val="204"/>
    </font>
    <font>
      <sz val="9"/>
      <color rgb="FFC00000"/>
      <name val="Consolas"/>
      <family val="3"/>
      <charset val="204"/>
    </font>
  </fonts>
  <fills count="78">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theme="7" tint="0.59999389629810485"/>
        <bgColor indexed="64"/>
      </patternFill>
    </fill>
    <fill>
      <patternFill patternType="solid">
        <fgColor rgb="FFB8CCE4"/>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top style="dotted">
        <color auto="1"/>
      </top>
      <bottom/>
      <diagonal/>
    </border>
    <border>
      <left/>
      <right/>
      <top style="dotted">
        <color auto="1"/>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style="dashed">
        <color theme="1" tint="0.499984740745262"/>
      </left>
      <right style="dashed">
        <color theme="1" tint="0.499984740745262"/>
      </right>
      <top style="dashed">
        <color theme="1" tint="0.499984740745262"/>
      </top>
      <bottom/>
      <diagonal/>
    </border>
    <border>
      <left style="dashed">
        <color theme="1" tint="0.499984740745262"/>
      </left>
      <right style="dashed">
        <color theme="1" tint="0.499984740745262"/>
      </right>
      <top/>
      <bottom style="dashed">
        <color theme="1" tint="0.499984740745262"/>
      </bottom>
      <diagonal/>
    </border>
    <border>
      <left style="dashed">
        <color theme="1" tint="0.499984740745262"/>
      </left>
      <right/>
      <top style="dashed">
        <color theme="1" tint="0.499984740745262"/>
      </top>
      <bottom/>
      <diagonal/>
    </border>
    <border>
      <left/>
      <right style="dashed">
        <color theme="1" tint="0.499984740745262"/>
      </right>
      <top style="dashed">
        <color theme="1" tint="0.499984740745262"/>
      </top>
      <bottom/>
      <diagonal/>
    </border>
    <border>
      <left style="dashed">
        <color theme="1" tint="0.499984740745262"/>
      </left>
      <right/>
      <top/>
      <bottom/>
      <diagonal/>
    </border>
    <border>
      <left/>
      <right style="dashed">
        <color theme="1" tint="0.499984740745262"/>
      </right>
      <top/>
      <bottom/>
      <diagonal/>
    </border>
    <border>
      <left style="dashed">
        <color theme="1" tint="0.499984740745262"/>
      </left>
      <right/>
      <top/>
      <bottom style="dashed">
        <color theme="1" tint="0.499984740745262"/>
      </bottom>
      <diagonal/>
    </border>
    <border>
      <left/>
      <right style="dashed">
        <color theme="1" tint="0.499984740745262"/>
      </right>
      <top/>
      <bottom style="dashed">
        <color theme="1" tint="0.499984740745262"/>
      </bottom>
      <diagonal/>
    </border>
    <border>
      <left style="dashed">
        <color theme="1" tint="0.499984740745262"/>
      </left>
      <right style="dashed">
        <color theme="1" tint="0.499984740745262"/>
      </right>
      <top/>
      <bottom/>
      <diagonal/>
    </border>
    <border>
      <left style="dashed">
        <color theme="0" tint="-0.499984740745262"/>
      </left>
      <right style="dashed">
        <color theme="0" tint="-0.499984740745262"/>
      </right>
      <top/>
      <bottom style="dashed">
        <color theme="0" tint="-0.499984740745262"/>
      </bottom>
      <diagonal/>
    </border>
    <border>
      <left/>
      <right/>
      <top style="thin">
        <color theme="0"/>
      </top>
      <bottom style="thin">
        <color theme="0"/>
      </bottom>
      <diagonal/>
    </border>
    <border>
      <left/>
      <right/>
      <top style="thin">
        <color theme="0"/>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7" fillId="0" borderId="0"/>
    <xf numFmtId="168" fontId="11"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3" fillId="0" borderId="0"/>
    <xf numFmtId="0" fontId="13" fillId="0" borderId="0"/>
    <xf numFmtId="0" fontId="12" fillId="0" borderId="0"/>
    <xf numFmtId="0" fontId="4" fillId="0" borderId="0"/>
    <xf numFmtId="0" fontId="13" fillId="0" borderId="0"/>
    <xf numFmtId="0" fontId="12" fillId="0" borderId="0"/>
    <xf numFmtId="0" fontId="13" fillId="0" borderId="0"/>
    <xf numFmtId="0" fontId="14" fillId="0" borderId="0"/>
    <xf numFmtId="49" fontId="11" fillId="4" borderId="1" applyBorder="0">
      <alignment horizontal="center" wrapText="1"/>
    </xf>
    <xf numFmtId="0" fontId="15" fillId="4" borderId="1" applyBorder="0">
      <alignment horizontal="left" wrapText="1"/>
    </xf>
    <xf numFmtId="0" fontId="11" fillId="4" borderId="2" applyBorder="0">
      <alignment horizontal="center" textRotation="90" wrapText="1"/>
    </xf>
    <xf numFmtId="0" fontId="12"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4"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3" fillId="0" borderId="0"/>
    <xf numFmtId="0" fontId="13" fillId="0" borderId="0"/>
    <xf numFmtId="0" fontId="13" fillId="0" borderId="0"/>
    <xf numFmtId="0" fontId="13" fillId="0" borderId="0"/>
    <xf numFmtId="0" fontId="12" fillId="0" borderId="0"/>
    <xf numFmtId="0" fontId="13" fillId="0" borderId="0"/>
    <xf numFmtId="0" fontId="13" fillId="0" borderId="0"/>
    <xf numFmtId="0" fontId="12" fillId="0" borderId="0"/>
    <xf numFmtId="0" fontId="12" fillId="0" borderId="0"/>
    <xf numFmtId="0" fontId="12" fillId="0" borderId="0"/>
    <xf numFmtId="0" fontId="12" fillId="0" borderId="0"/>
    <xf numFmtId="0" fontId="16" fillId="0" borderId="0">
      <alignment vertical="center"/>
    </xf>
    <xf numFmtId="0" fontId="4" fillId="0" borderId="0"/>
    <xf numFmtId="0" fontId="13" fillId="0" borderId="0"/>
    <xf numFmtId="0" fontId="12" fillId="0" borderId="0"/>
    <xf numFmtId="0" fontId="13" fillId="0" borderId="0"/>
    <xf numFmtId="0" fontId="12" fillId="0" borderId="0"/>
    <xf numFmtId="0" fontId="13" fillId="0" borderId="0"/>
    <xf numFmtId="0" fontId="13" fillId="0" borderId="0"/>
    <xf numFmtId="0" fontId="4" fillId="0" borderId="0"/>
    <xf numFmtId="0" fontId="12" fillId="0" borderId="0"/>
    <xf numFmtId="0" fontId="12"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3" fillId="0" borderId="0"/>
    <xf numFmtId="0" fontId="12" fillId="0" borderId="0"/>
    <xf numFmtId="0" fontId="12" fillId="0" borderId="0"/>
    <xf numFmtId="0" fontId="12" fillId="0" borderId="0"/>
    <xf numFmtId="0" fontId="12" fillId="0" borderId="0"/>
    <xf numFmtId="0" fontId="4" fillId="0" borderId="0"/>
    <xf numFmtId="0" fontId="14" fillId="0" borderId="0"/>
    <xf numFmtId="0" fontId="12" fillId="0" borderId="0"/>
    <xf numFmtId="0" fontId="12" fillId="0" borderId="0"/>
    <xf numFmtId="0" fontId="12" fillId="0" borderId="0"/>
    <xf numFmtId="0" fontId="12" fillId="0" borderId="0"/>
    <xf numFmtId="0" fontId="13" fillId="0" borderId="0"/>
    <xf numFmtId="0" fontId="12" fillId="0" borderId="0"/>
    <xf numFmtId="0" fontId="13" fillId="0" borderId="0"/>
    <xf numFmtId="0" fontId="12" fillId="0" borderId="0"/>
    <xf numFmtId="0" fontId="13" fillId="0" borderId="0"/>
    <xf numFmtId="0" fontId="13" fillId="0" borderId="0"/>
    <xf numFmtId="0" fontId="12" fillId="0" borderId="0"/>
    <xf numFmtId="0" fontId="13" fillId="0" borderId="0"/>
    <xf numFmtId="0" fontId="13" fillId="0" borderId="0"/>
    <xf numFmtId="0" fontId="13" fillId="0" borderId="0"/>
    <xf numFmtId="0" fontId="4" fillId="0" borderId="0"/>
    <xf numFmtId="0" fontId="12" fillId="0" borderId="0"/>
    <xf numFmtId="0" fontId="13" fillId="0" borderId="0"/>
    <xf numFmtId="0" fontId="4" fillId="0" borderId="0"/>
    <xf numFmtId="0" fontId="12" fillId="0" borderId="0"/>
    <xf numFmtId="0" fontId="13" fillId="0" borderId="0"/>
    <xf numFmtId="0" fontId="4" fillId="0" borderId="0"/>
    <xf numFmtId="0" fontId="4" fillId="0" borderId="0"/>
    <xf numFmtId="0" fontId="2" fillId="0" borderId="0"/>
    <xf numFmtId="49" fontId="17" fillId="0" borderId="0" applyFill="0" applyProtection="0">
      <alignment horizontal="centerContinuous" wrapText="1"/>
    </xf>
    <xf numFmtId="0" fontId="18" fillId="5" borderId="6">
      <alignment horizontal="center"/>
    </xf>
    <xf numFmtId="169" fontId="19"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0"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1"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1" fillId="26" borderId="0" applyNumberFormat="0" applyBorder="0" applyAlignment="0" applyProtection="0"/>
    <xf numFmtId="0" fontId="21"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1" fillId="26" borderId="0" applyNumberFormat="0" applyBorder="0" applyAlignment="0" applyProtection="0"/>
    <xf numFmtId="0" fontId="21"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1" fillId="23" borderId="0" applyNumberFormat="0" applyBorder="0" applyAlignment="0" applyProtection="0"/>
    <xf numFmtId="0" fontId="21"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1" fillId="32" borderId="0" applyNumberFormat="0" applyBorder="0" applyAlignment="0" applyProtection="0"/>
    <xf numFmtId="172" fontId="22" fillId="33" borderId="0">
      <alignment horizontal="center" vertical="center"/>
    </xf>
    <xf numFmtId="165" fontId="23" fillId="0" borderId="10" applyFont="0" applyBorder="0">
      <alignment horizontal="right" vertical="center"/>
    </xf>
    <xf numFmtId="0" fontId="24"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19" fillId="34" borderId="1">
      <alignment vertical="center"/>
    </xf>
    <xf numFmtId="173" fontId="23" fillId="0" borderId="0" applyFont="0" applyBorder="0" applyProtection="0">
      <alignment vertical="center"/>
    </xf>
    <xf numFmtId="172" fontId="4" fillId="0" borderId="0" applyNumberFormat="0" applyFont="0" applyAlignment="0">
      <alignment horizontal="center" vertical="center"/>
    </xf>
    <xf numFmtId="39" fontId="25" fillId="4" borderId="0" applyNumberFormat="0" applyBorder="0">
      <alignment vertical="center"/>
    </xf>
    <xf numFmtId="0" fontId="26" fillId="35" borderId="0" applyNumberFormat="0" applyBorder="0" applyAlignment="0" applyProtection="0"/>
    <xf numFmtId="0" fontId="19" fillId="0" borderId="0">
      <alignment horizontal="left"/>
    </xf>
    <xf numFmtId="169" fontId="27" fillId="36" borderId="1">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169" fontId="27" fillId="37" borderId="1">
      <alignment vertical="center"/>
    </xf>
    <xf numFmtId="174" fontId="4" fillId="0" borderId="0"/>
    <xf numFmtId="174" fontId="4" fillId="0" borderId="0"/>
    <xf numFmtId="165" fontId="19" fillId="38" borderId="6">
      <alignment vertical="center"/>
    </xf>
    <xf numFmtId="0" fontId="29"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3" fillId="0" borderId="0" applyFont="0" applyFill="0" applyBorder="0" applyAlignment="0" applyProtection="0"/>
    <xf numFmtId="178" fontId="4" fillId="0" borderId="0">
      <alignment horizontal="center"/>
    </xf>
    <xf numFmtId="0" fontId="30"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1" fillId="39"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3" fillId="42" borderId="0">
      <alignment horizontal="centerContinuous" vertical="center"/>
    </xf>
    <xf numFmtId="165" fontId="19" fillId="6" borderId="1" applyBorder="0">
      <alignment horizontal="center" vertical="center"/>
    </xf>
    <xf numFmtId="0" fontId="34"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0" fillId="43" borderId="12" applyNumberFormat="0" applyProtection="0">
      <alignment vertical="top"/>
    </xf>
    <xf numFmtId="0" fontId="35" fillId="0" borderId="13" applyNumberFormat="0" applyFill="0" applyAlignment="0" applyProtection="0"/>
    <xf numFmtId="0" fontId="36" fillId="0" borderId="14" applyNumberFormat="0" applyFill="0" applyAlignment="0" applyProtection="0"/>
    <xf numFmtId="0" fontId="37" fillId="0" borderId="15" applyNumberFormat="0" applyFill="0" applyAlignment="0" applyProtection="0"/>
    <xf numFmtId="0" fontId="37" fillId="0" borderId="0" applyNumberFormat="0" applyFill="0" applyBorder="0" applyAlignment="0" applyProtection="0"/>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3" fontId="5" fillId="0" borderId="0">
      <alignment vertical="top"/>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2" fontId="38" fillId="44" borderId="3">
      <alignment horizontal="left"/>
      <protection locked="0"/>
    </xf>
    <xf numFmtId="0" fontId="39" fillId="45" borderId="0"/>
    <xf numFmtId="0" fontId="39" fillId="45" borderId="0"/>
    <xf numFmtId="0" fontId="39" fillId="45" borderId="0"/>
    <xf numFmtId="0" fontId="39" fillId="45" borderId="0"/>
    <xf numFmtId="0" fontId="39" fillId="45" borderId="0"/>
    <xf numFmtId="0" fontId="39" fillId="45" borderId="0"/>
    <xf numFmtId="0" fontId="39" fillId="45" borderId="0"/>
    <xf numFmtId="0" fontId="39" fillId="45" borderId="0"/>
    <xf numFmtId="0" fontId="39" fillId="45" borderId="0"/>
    <xf numFmtId="0" fontId="39" fillId="45" borderId="0"/>
    <xf numFmtId="0" fontId="10" fillId="46" borderId="0"/>
    <xf numFmtId="0" fontId="10" fillId="46" borderId="0"/>
    <xf numFmtId="0" fontId="10" fillId="46" borderId="0"/>
    <xf numFmtId="0" fontId="10" fillId="46" borderId="0"/>
    <xf numFmtId="0" fontId="10" fillId="46" borderId="0"/>
    <xf numFmtId="0" fontId="10" fillId="46" borderId="0"/>
    <xf numFmtId="0" fontId="10" fillId="46" borderId="0"/>
    <xf numFmtId="0" fontId="10" fillId="46" borderId="0"/>
    <xf numFmtId="0" fontId="10" fillId="46" borderId="0"/>
    <xf numFmtId="0" fontId="10" fillId="46"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5" fillId="47" borderId="1">
      <alignment horizontal="center" vertical="center" wrapText="1"/>
      <protection locked="0"/>
    </xf>
    <xf numFmtId="2" fontId="41" fillId="0" borderId="1">
      <alignment horizontal="center" vertical="center"/>
    </xf>
    <xf numFmtId="0" fontId="42" fillId="0" borderId="0"/>
    <xf numFmtId="0" fontId="4" fillId="0" borderId="0"/>
    <xf numFmtId="0" fontId="43" fillId="32" borderId="16" applyNumberFormat="0" applyAlignment="0" applyProtection="0"/>
    <xf numFmtId="10" fontId="44" fillId="48" borderId="1" applyNumberFormat="0" applyBorder="0" applyAlignment="0" applyProtection="0"/>
    <xf numFmtId="165" fontId="19" fillId="49" borderId="1">
      <alignment vertical="center"/>
      <protection locked="0"/>
    </xf>
    <xf numFmtId="0" fontId="45" fillId="0" borderId="0">
      <alignment horizontal="center" vertical="center" wrapText="1"/>
    </xf>
    <xf numFmtId="169" fontId="4" fillId="50" borderId="1">
      <alignment vertical="center"/>
    </xf>
    <xf numFmtId="180" fontId="46" fillId="0" borderId="0" applyFont="0" applyFill="0" applyBorder="0" applyAlignment="0" applyProtection="0"/>
    <xf numFmtId="0" fontId="47" fillId="0" borderId="0">
      <alignment horizontal="center" vertical="center" wrapText="1"/>
    </xf>
    <xf numFmtId="172" fontId="48" fillId="51" borderId="17" applyBorder="0" applyAlignment="0">
      <alignment horizontal="left" indent="1"/>
    </xf>
    <xf numFmtId="0" fontId="49" fillId="0" borderId="18" applyNumberFormat="0" applyFill="0" applyAlignment="0" applyProtection="0"/>
    <xf numFmtId="0" fontId="50" fillId="52" borderId="0" applyNumberFormat="0" applyBorder="0" applyAlignment="0" applyProtection="0"/>
    <xf numFmtId="0" fontId="11" fillId="4" borderId="1" applyFont="0" applyBorder="0" applyAlignment="0">
      <alignment horizontal="center" vertical="center"/>
    </xf>
    <xf numFmtId="181" fontId="51" fillId="0" borderId="0"/>
    <xf numFmtId="0" fontId="4" fillId="0" borderId="0"/>
    <xf numFmtId="0" fontId="4" fillId="0" borderId="0"/>
    <xf numFmtId="0" fontId="4" fillId="0" borderId="0"/>
    <xf numFmtId="0" fontId="12" fillId="0" borderId="0"/>
    <xf numFmtId="0" fontId="12" fillId="0" borderId="0"/>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3" fontId="38"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2" fillId="0" borderId="0">
      <alignment horizontal="left"/>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3" fontId="53" fillId="0" borderId="0">
      <alignment vertical="top"/>
    </xf>
    <xf numFmtId="183" fontId="3" fillId="0" borderId="0" applyFont="0" applyFill="0" applyBorder="0" applyAlignment="0" applyProtection="0"/>
    <xf numFmtId="0" fontId="54" fillId="53" borderId="19" applyNumberFormat="0" applyAlignment="0" applyProtection="0"/>
    <xf numFmtId="0" fontId="55" fillId="4" borderId="0">
      <alignment vertical="center"/>
    </xf>
    <xf numFmtId="39" fontId="25"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2" fillId="0" borderId="0"/>
    <xf numFmtId="0" fontId="4" fillId="0" borderId="0"/>
    <xf numFmtId="169" fontId="56"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57" fillId="55" borderId="1">
      <alignment vertical="top"/>
    </xf>
    <xf numFmtId="0" fontId="58" fillId="56" borderId="0">
      <alignment horizontal="center" vertical="center"/>
    </xf>
    <xf numFmtId="0" fontId="58" fillId="56" borderId="0">
      <alignment horizontal="right" vertical="top"/>
    </xf>
    <xf numFmtId="0" fontId="59" fillId="0" borderId="0" applyNumberFormat="0" applyFill="0" applyBorder="0" applyAlignment="0" applyProtection="0"/>
    <xf numFmtId="187" fontId="4" fillId="33" borderId="1">
      <alignment vertical="center"/>
    </xf>
    <xf numFmtId="188" fontId="60" fillId="0" borderId="1">
      <alignment horizontal="left" vertical="center"/>
      <protection locked="0"/>
    </xf>
    <xf numFmtId="0" fontId="4" fillId="57" borderId="0"/>
    <xf numFmtId="0" fontId="12"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1" fillId="0" borderId="0"/>
    <xf numFmtId="3" fontId="32"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2" fillId="0" borderId="0">
      <alignment horizontal="left"/>
    </xf>
    <xf numFmtId="191" fontId="4" fillId="4" borderId="0" applyFill="0"/>
    <xf numFmtId="0" fontId="62" fillId="0" borderId="0" applyNumberFormat="0" applyFill="0" applyBorder="0" applyAlignment="0" applyProtection="0">
      <alignment horizontal="center"/>
    </xf>
    <xf numFmtId="169" fontId="18"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3" fillId="0" borderId="21"/>
    <xf numFmtId="0" fontId="64" fillId="0" borderId="0" applyNumberFormat="0" applyFill="0" applyBorder="0" applyAlignment="0" applyProtection="0"/>
    <xf numFmtId="0" fontId="65"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5"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59"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0"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61"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21" fillId="62" borderId="0" applyNumberFormat="0" applyBorder="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43" fillId="12" borderId="16"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54" fillId="63" borderId="19"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0" fontId="66"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5" fillId="4" borderId="0" applyNumberFormat="0" applyFont="0" applyFill="0" applyBorder="0" applyAlignment="0" applyProtection="0">
      <alignment vertical="center"/>
    </xf>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lignment horizontal="left"/>
    </xf>
    <xf numFmtId="0" fontId="71" fillId="4" borderId="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31" fillId="0" borderId="25" applyNumberFormat="0" applyFill="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29" fillId="64" borderId="11" applyNumberFormat="0" applyAlignment="0" applyProtection="0"/>
    <xf numFmtId="0" fontId="72" fillId="4"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7" fillId="0" borderId="0"/>
    <xf numFmtId="0" fontId="4" fillId="0" borderId="0"/>
    <xf numFmtId="0" fontId="4" fillId="0" borderId="0"/>
    <xf numFmtId="0" fontId="4" fillId="0" borderId="0"/>
    <xf numFmtId="0" fontId="7"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8" fillId="0" borderId="0"/>
    <xf numFmtId="0" fontId="1" fillId="0" borderId="0"/>
    <xf numFmtId="0" fontId="4" fillId="0" borderId="0"/>
    <xf numFmtId="0" fontId="74"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77" fillId="37" borderId="0">
      <alignment horizontal="center" vertical="top"/>
    </xf>
    <xf numFmtId="3" fontId="78" fillId="0" borderId="0" applyFont="0" applyFill="0" applyBorder="0" applyProtection="0">
      <alignment horizontal="right" vertical="center"/>
    </xf>
    <xf numFmtId="0" fontId="13" fillId="0" borderId="0"/>
    <xf numFmtId="0" fontId="4" fillId="0" borderId="0"/>
    <xf numFmtId="0" fontId="12" fillId="0" borderId="0"/>
    <xf numFmtId="0" fontId="13" fillId="0" borderId="0"/>
    <xf numFmtId="196" fontId="79" fillId="0" borderId="0" applyFont="0" applyFill="0" applyBorder="0" applyAlignment="0" applyProtection="0"/>
    <xf numFmtId="167" fontId="19" fillId="0" borderId="0" applyFont="0" applyFill="0" applyBorder="0" applyAlignment="0" applyProtection="0"/>
    <xf numFmtId="167" fontId="3" fillId="0" borderId="0" applyFont="0" applyFill="0" applyBorder="0" applyAlignment="0" applyProtection="0"/>
    <xf numFmtId="167" fontId="7"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4"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165" fontId="19" fillId="66" borderId="1">
      <alignment horizontal="center" vertical="center"/>
      <protection locked="0"/>
    </xf>
    <xf numFmtId="0" fontId="80" fillId="0" borderId="0"/>
    <xf numFmtId="0" fontId="81" fillId="67" borderId="27" applyNumberFormat="0" applyAlignment="0" applyProtection="0"/>
    <xf numFmtId="0" fontId="83" fillId="0" borderId="0" applyNumberFormat="0" applyFill="0" applyBorder="0" applyAlignment="0" applyProtection="0"/>
  </cellStyleXfs>
  <cellXfs count="340">
    <xf numFmtId="0" fontId="0" fillId="0" borderId="0" xfId="0"/>
    <xf numFmtId="0" fontId="0" fillId="0" borderId="0" xfId="0"/>
    <xf numFmtId="0" fontId="0" fillId="0" borderId="0" xfId="0" applyFill="1"/>
    <xf numFmtId="0" fontId="0" fillId="0" borderId="47" xfId="0" applyBorder="1" applyAlignment="1">
      <alignment horizontal="right" vertical="center"/>
    </xf>
    <xf numFmtId="0" fontId="0" fillId="0" borderId="47" xfId="0" applyBorder="1"/>
    <xf numFmtId="0" fontId="84" fillId="0" borderId="0" xfId="0" applyFont="1"/>
    <xf numFmtId="4" fontId="0" fillId="0" borderId="0" xfId="0" applyNumberFormat="1"/>
    <xf numFmtId="0" fontId="0" fillId="70" borderId="0" xfId="0" applyFill="1"/>
    <xf numFmtId="4" fontId="0" fillId="70" borderId="0" xfId="0" applyNumberFormat="1" applyFill="1"/>
    <xf numFmtId="0" fontId="111" fillId="0" borderId="34" xfId="12" applyFont="1" applyFill="1" applyBorder="1" applyAlignment="1">
      <alignment horizontal="center" vertical="center" wrapText="1"/>
    </xf>
    <xf numFmtId="0" fontId="114" fillId="0" borderId="34" xfId="0" applyFont="1" applyFill="1" applyBorder="1" applyAlignment="1" applyProtection="1">
      <alignment horizontal="center" vertical="center" wrapText="1"/>
      <protection locked="0"/>
    </xf>
    <xf numFmtId="4" fontId="91" fillId="0" borderId="0" xfId="1" applyNumberFormat="1" applyFont="1" applyFill="1" applyBorder="1" applyAlignment="1" applyProtection="1">
      <alignment horizontal="right" vertical="center"/>
    </xf>
    <xf numFmtId="0" fontId="115" fillId="0" borderId="0" xfId="0" applyFont="1" applyProtection="1"/>
    <xf numFmtId="4" fontId="117" fillId="0" borderId="0" xfId="3230" applyNumberFormat="1" applyFont="1" applyAlignment="1" applyProtection="1">
      <alignment horizontal="left"/>
    </xf>
    <xf numFmtId="4" fontId="90" fillId="0" borderId="0" xfId="7" applyNumberFormat="1" applyFont="1" applyAlignment="1" applyProtection="1">
      <alignment horizontal="left"/>
    </xf>
    <xf numFmtId="0" fontId="90" fillId="0" borderId="0" xfId="7" applyFont="1" applyAlignment="1" applyProtection="1">
      <alignment horizontal="left"/>
    </xf>
    <xf numFmtId="0" fontId="90" fillId="0" borderId="0" xfId="7" applyFont="1" applyProtection="1"/>
    <xf numFmtId="0" fontId="116" fillId="0" borderId="0" xfId="7" applyFont="1" applyAlignment="1" applyProtection="1">
      <alignment horizontal="left"/>
    </xf>
    <xf numFmtId="4" fontId="93" fillId="0" borderId="50" xfId="0" applyNumberFormat="1" applyFont="1" applyFill="1" applyBorder="1" applyAlignment="1" applyProtection="1">
      <alignment horizontal="center" vertical="center" wrapText="1"/>
    </xf>
    <xf numFmtId="0" fontId="119" fillId="0" borderId="0" xfId="0" applyFont="1" applyAlignment="1" applyProtection="1">
      <alignment horizontal="center"/>
    </xf>
    <xf numFmtId="0" fontId="88" fillId="0" borderId="63" xfId="0" applyFont="1" applyBorder="1" applyAlignment="1">
      <alignment horizontal="right" vertical="center"/>
    </xf>
    <xf numFmtId="1" fontId="108" fillId="74" borderId="0" xfId="11" applyNumberFormat="1" applyFont="1" applyFill="1" applyBorder="1" applyAlignment="1" applyProtection="1">
      <alignment horizontal="center" vertical="center"/>
    </xf>
    <xf numFmtId="0" fontId="90" fillId="2" borderId="0" xfId="0" applyFont="1" applyFill="1" applyBorder="1" applyAlignment="1" applyProtection="1">
      <alignment horizontal="center" vertical="center" wrapText="1"/>
    </xf>
    <xf numFmtId="0" fontId="90" fillId="0" borderId="0" xfId="7" applyFont="1" applyBorder="1" applyAlignment="1" applyProtection="1">
      <alignment horizontal="justify" vertical="center" wrapText="1"/>
    </xf>
    <xf numFmtId="4" fontId="90" fillId="0" borderId="0" xfId="0" applyNumberFormat="1" applyFont="1" applyFill="1" applyBorder="1" applyAlignment="1" applyProtection="1">
      <alignment horizontal="right" vertical="center" wrapText="1"/>
    </xf>
    <xf numFmtId="1" fontId="108" fillId="72" borderId="40" xfId="11" applyNumberFormat="1" applyFont="1" applyFill="1" applyBorder="1" applyAlignment="1" applyProtection="1">
      <alignment horizontal="center" vertical="center"/>
    </xf>
    <xf numFmtId="0" fontId="85" fillId="68" borderId="40" xfId="0" applyFont="1" applyFill="1" applyBorder="1" applyAlignment="1" applyProtection="1">
      <alignment horizontal="center"/>
    </xf>
    <xf numFmtId="1" fontId="100" fillId="0" borderId="0" xfId="12" applyNumberFormat="1" applyFont="1" applyBorder="1" applyAlignment="1" applyProtection="1">
      <alignment horizontal="center" vertical="center" wrapText="1"/>
    </xf>
    <xf numFmtId="0" fontId="123" fillId="0" borderId="0" xfId="7" applyFont="1" applyAlignment="1" applyProtection="1">
      <alignment horizontal="center"/>
    </xf>
    <xf numFmtId="0" fontId="100" fillId="0" borderId="28" xfId="0" applyFont="1" applyBorder="1" applyAlignment="1" applyProtection="1">
      <alignment horizontal="center" vertical="center"/>
    </xf>
    <xf numFmtId="0" fontId="100" fillId="69" borderId="28" xfId="0" applyFont="1" applyFill="1" applyBorder="1" applyAlignment="1" applyProtection="1">
      <alignment horizontal="center" vertical="center"/>
    </xf>
    <xf numFmtId="0" fontId="100" fillId="0" borderId="28" xfId="0" applyFont="1" applyFill="1" applyBorder="1" applyAlignment="1" applyProtection="1">
      <alignment horizontal="center" vertical="center" wrapText="1"/>
    </xf>
    <xf numFmtId="0" fontId="100" fillId="69" borderId="28" xfId="0" applyFont="1" applyFill="1" applyBorder="1" applyAlignment="1" applyProtection="1">
      <alignment horizontal="center" vertical="center" wrapText="1"/>
    </xf>
    <xf numFmtId="0" fontId="100" fillId="2" borderId="28" xfId="0" applyFont="1" applyFill="1" applyBorder="1" applyAlignment="1" applyProtection="1">
      <alignment horizontal="center" vertical="center" wrapText="1"/>
    </xf>
    <xf numFmtId="0" fontId="124" fillId="0" borderId="0" xfId="0" applyFont="1" applyAlignment="1">
      <alignment horizontal="center"/>
    </xf>
    <xf numFmtId="1" fontId="93" fillId="73" borderId="34" xfId="12" applyNumberFormat="1" applyFont="1" applyFill="1" applyBorder="1" applyAlignment="1" applyProtection="1">
      <alignment horizontal="right" vertical="center" wrapText="1"/>
    </xf>
    <xf numFmtId="0" fontId="111" fillId="0" borderId="34" xfId="0" applyFont="1" applyFill="1" applyBorder="1" applyAlignment="1" applyProtection="1">
      <alignment horizontal="center" vertical="center" wrapText="1"/>
    </xf>
    <xf numFmtId="0" fontId="105" fillId="2" borderId="0" xfId="0" applyFont="1" applyFill="1" applyBorder="1" applyAlignment="1" applyProtection="1">
      <alignment horizontal="justify" vertical="center" wrapText="1"/>
    </xf>
    <xf numFmtId="0" fontId="116" fillId="0" borderId="0" xfId="7" applyFont="1" applyAlignment="1" applyProtection="1">
      <alignment horizontal="justify"/>
    </xf>
    <xf numFmtId="0" fontId="0" fillId="0" borderId="0" xfId="0" applyAlignment="1">
      <alignment horizontal="justify"/>
    </xf>
    <xf numFmtId="0" fontId="111" fillId="73" borderId="34" xfId="0" applyFont="1" applyFill="1" applyBorder="1" applyAlignment="1" applyProtection="1">
      <alignment horizontal="center" vertical="center" wrapText="1"/>
    </xf>
    <xf numFmtId="0" fontId="114" fillId="0" borderId="34" xfId="0" applyFont="1" applyFill="1" applyBorder="1" applyAlignment="1" applyProtection="1">
      <alignment horizontal="justify" vertical="center" wrapText="1"/>
    </xf>
    <xf numFmtId="0" fontId="111" fillId="0" borderId="82" xfId="7" applyFont="1" applyFill="1" applyBorder="1" applyAlignment="1" applyProtection="1">
      <alignment horizontal="justify" vertical="center" wrapText="1"/>
    </xf>
    <xf numFmtId="0" fontId="111" fillId="0" borderId="82" xfId="7" applyFont="1" applyBorder="1" applyAlignment="1" applyProtection="1">
      <alignment horizontal="center" vertical="center" wrapText="1"/>
    </xf>
    <xf numFmtId="4" fontId="111" fillId="0" borderId="82" xfId="0" applyNumberFormat="1" applyFont="1" applyFill="1" applyBorder="1" applyAlignment="1" applyProtection="1">
      <alignment horizontal="right" vertical="center" wrapText="1"/>
    </xf>
    <xf numFmtId="0" fontId="100" fillId="0" borderId="78" xfId="0" applyFont="1" applyBorder="1" applyAlignment="1">
      <alignment horizontal="center" vertical="center"/>
    </xf>
    <xf numFmtId="0" fontId="102" fillId="0" borderId="34" xfId="0" applyFont="1" applyBorder="1" applyAlignment="1" applyProtection="1">
      <alignment horizontal="center" vertical="center"/>
    </xf>
    <xf numFmtId="0" fontId="126" fillId="0" borderId="34" xfId="7" applyFont="1" applyBorder="1" applyAlignment="1" applyProtection="1">
      <alignment horizontal="justify" vertical="center" wrapText="1"/>
    </xf>
    <xf numFmtId="0" fontId="114" fillId="0" borderId="34" xfId="0" applyFont="1" applyBorder="1" applyAlignment="1" applyProtection="1">
      <alignment horizontal="center" vertical="center" wrapText="1"/>
    </xf>
    <xf numFmtId="4" fontId="114" fillId="0" borderId="34" xfId="1" applyNumberFormat="1" applyFont="1" applyFill="1" applyBorder="1" applyAlignment="1" applyProtection="1">
      <alignment horizontal="right" vertical="center"/>
    </xf>
    <xf numFmtId="4" fontId="111" fillId="0" borderId="34" xfId="0" applyNumberFormat="1" applyFont="1" applyFill="1" applyBorder="1" applyAlignment="1" applyProtection="1">
      <alignment horizontal="right" vertical="center" wrapText="1"/>
    </xf>
    <xf numFmtId="1" fontId="102" fillId="0" borderId="34" xfId="12" applyNumberFormat="1" applyFont="1" applyBorder="1" applyAlignment="1" applyProtection="1">
      <alignment horizontal="center" vertical="center" wrapText="1"/>
    </xf>
    <xf numFmtId="0" fontId="127" fillId="2" borderId="34" xfId="0" applyFont="1" applyFill="1" applyBorder="1" applyAlignment="1" applyProtection="1">
      <alignment horizontal="justify" vertical="center" wrapText="1"/>
    </xf>
    <xf numFmtId="0" fontId="111" fillId="2" borderId="34" xfId="0" applyFont="1" applyFill="1" applyBorder="1" applyAlignment="1" applyProtection="1">
      <alignment horizontal="center" vertical="center" wrapText="1"/>
    </xf>
    <xf numFmtId="4" fontId="114" fillId="75" borderId="34" xfId="0" applyNumberFormat="1" applyFont="1" applyFill="1" applyBorder="1" applyAlignment="1" applyProtection="1">
      <alignment horizontal="justify" vertical="center"/>
    </xf>
    <xf numFmtId="4" fontId="114" fillId="75" borderId="34" xfId="1" applyNumberFormat="1" applyFont="1" applyFill="1" applyBorder="1" applyAlignment="1" applyProtection="1">
      <alignment horizontal="right" vertical="center"/>
    </xf>
    <xf numFmtId="4" fontId="111" fillId="75" borderId="34" xfId="0" applyNumberFormat="1" applyFont="1" applyFill="1" applyBorder="1" applyAlignment="1" applyProtection="1">
      <alignment horizontal="right" vertical="center" wrapText="1"/>
    </xf>
    <xf numFmtId="1" fontId="102" fillId="0" borderId="46" xfId="11" applyNumberFormat="1" applyFont="1" applyFill="1" applyBorder="1" applyAlignment="1" applyProtection="1">
      <alignment horizontal="center" vertical="center" wrapText="1"/>
    </xf>
    <xf numFmtId="0" fontId="126" fillId="0" borderId="46" xfId="0" applyFont="1" applyBorder="1" applyAlignment="1" applyProtection="1">
      <alignment horizontal="justify" vertical="center" wrapText="1"/>
    </xf>
    <xf numFmtId="0" fontId="111" fillId="0" borderId="46" xfId="0" applyFont="1" applyBorder="1" applyAlignment="1" applyProtection="1">
      <alignment horizontal="center" vertical="center" wrapText="1"/>
    </xf>
    <xf numFmtId="0" fontId="111" fillId="0" borderId="46" xfId="0" applyFont="1" applyBorder="1" applyAlignment="1" applyProtection="1">
      <alignment horizontal="right"/>
    </xf>
    <xf numFmtId="0" fontId="114" fillId="0" borderId="46" xfId="0" applyFont="1" applyFill="1" applyBorder="1" applyAlignment="1" applyProtection="1">
      <alignment horizontal="right"/>
    </xf>
    <xf numFmtId="0" fontId="126" fillId="75" borderId="34" xfId="0" applyFont="1" applyFill="1" applyBorder="1" applyAlignment="1" applyProtection="1">
      <alignment horizontal="justify" vertical="center" wrapText="1"/>
    </xf>
    <xf numFmtId="0" fontId="111" fillId="75" borderId="34" xfId="0" applyFont="1" applyFill="1" applyBorder="1" applyAlignment="1" applyProtection="1">
      <alignment horizontal="center" vertical="center" wrapText="1"/>
    </xf>
    <xf numFmtId="1" fontId="102" fillId="0" borderId="34" xfId="11" applyNumberFormat="1" applyFont="1" applyFill="1" applyBorder="1" applyAlignment="1" applyProtection="1">
      <alignment horizontal="center" vertical="center" wrapText="1"/>
    </xf>
    <xf numFmtId="0" fontId="126" fillId="0" borderId="34" xfId="0" applyFont="1" applyBorder="1" applyAlignment="1" applyProtection="1">
      <alignment horizontal="justify" vertical="center" wrapText="1"/>
    </xf>
    <xf numFmtId="0" fontId="111" fillId="0" borderId="34" xfId="0" applyFont="1" applyBorder="1" applyAlignment="1" applyProtection="1">
      <alignment horizontal="center" vertical="center" wrapText="1"/>
    </xf>
    <xf numFmtId="4" fontId="111" fillId="2" borderId="34" xfId="0" applyNumberFormat="1" applyFont="1" applyFill="1" applyBorder="1" applyAlignment="1" applyProtection="1">
      <alignment horizontal="right" vertical="center" wrapText="1"/>
    </xf>
    <xf numFmtId="0" fontId="127" fillId="0" borderId="34" xfId="0" applyFont="1" applyFill="1" applyBorder="1" applyAlignment="1" applyProtection="1">
      <alignment horizontal="justify" vertical="center" wrapText="1"/>
    </xf>
    <xf numFmtId="0" fontId="114" fillId="75" borderId="34" xfId="0" applyFont="1" applyFill="1" applyBorder="1" applyAlignment="1" applyProtection="1">
      <alignment horizontal="justify" vertical="center" wrapText="1"/>
    </xf>
    <xf numFmtId="0" fontId="126" fillId="2" borderId="34" xfId="0" applyFont="1" applyFill="1" applyBorder="1" applyAlignment="1" applyProtection="1">
      <alignment horizontal="justify" vertical="center" wrapText="1"/>
    </xf>
    <xf numFmtId="0" fontId="102" fillId="0" borderId="34" xfId="0" applyFont="1" applyBorder="1" applyAlignment="1" applyProtection="1">
      <alignment horizontal="center" vertical="center" wrapText="1"/>
    </xf>
    <xf numFmtId="0" fontId="114" fillId="0" borderId="34" xfId="0" applyFont="1" applyBorder="1" applyAlignment="1" applyProtection="1">
      <alignment horizontal="justify" vertical="center" wrapText="1"/>
    </xf>
    <xf numFmtId="0" fontId="126" fillId="75" borderId="34" xfId="7" applyFont="1" applyFill="1" applyBorder="1" applyAlignment="1" applyProtection="1">
      <alignment horizontal="justify" vertical="center" wrapText="1"/>
    </xf>
    <xf numFmtId="0" fontId="111" fillId="75" borderId="34" xfId="7" applyFont="1" applyFill="1" applyBorder="1" applyAlignment="1" applyProtection="1">
      <alignment horizontal="center" vertical="center" wrapText="1"/>
    </xf>
    <xf numFmtId="49" fontId="102" fillId="0" borderId="34" xfId="0" applyNumberFormat="1" applyFont="1" applyFill="1" applyBorder="1" applyAlignment="1" applyProtection="1">
      <alignment horizontal="center" vertical="center"/>
    </xf>
    <xf numFmtId="0" fontId="127" fillId="0" borderId="34" xfId="7" applyFont="1" applyFill="1" applyBorder="1" applyAlignment="1" applyProtection="1">
      <alignment horizontal="justify" vertical="center" wrapText="1"/>
      <protection locked="0"/>
    </xf>
    <xf numFmtId="0" fontId="111" fillId="0" borderId="34" xfId="12" applyFont="1" applyFill="1" applyBorder="1" applyAlignment="1">
      <alignment horizontal="justify" vertical="center" wrapText="1"/>
    </xf>
    <xf numFmtId="0" fontId="114" fillId="0" borderId="34" xfId="763" applyFont="1" applyFill="1" applyBorder="1" applyAlignment="1">
      <alignment horizontal="justify" vertical="center" wrapText="1"/>
    </xf>
    <xf numFmtId="0" fontId="102" fillId="75" borderId="34" xfId="7" applyFont="1" applyFill="1" applyBorder="1" applyAlignment="1" applyProtection="1">
      <alignment horizontal="justify" vertical="center" wrapText="1"/>
    </xf>
    <xf numFmtId="0" fontId="114" fillId="75" borderId="34" xfId="0" applyFont="1" applyFill="1" applyBorder="1" applyAlignment="1" applyProtection="1">
      <alignment horizontal="center" vertical="center" wrapText="1"/>
    </xf>
    <xf numFmtId="1" fontId="102" fillId="0" borderId="34" xfId="12" applyNumberFormat="1" applyFont="1" applyFill="1" applyBorder="1" applyAlignment="1" applyProtection="1">
      <alignment horizontal="center" vertical="center" wrapText="1"/>
    </xf>
    <xf numFmtId="1" fontId="102" fillId="0" borderId="44" xfId="12" applyNumberFormat="1" applyFont="1" applyBorder="1" applyAlignment="1" applyProtection="1">
      <alignment horizontal="center" vertical="center" wrapText="1"/>
    </xf>
    <xf numFmtId="0" fontId="126" fillId="73" borderId="34" xfId="0" applyFont="1" applyFill="1" applyBorder="1" applyAlignment="1" applyProtection="1">
      <alignment horizontal="justify" vertical="center" wrapText="1"/>
    </xf>
    <xf numFmtId="4" fontId="111" fillId="73" borderId="34" xfId="0" applyNumberFormat="1" applyFont="1" applyFill="1" applyBorder="1" applyAlignment="1" applyProtection="1">
      <alignment horizontal="right" vertical="center" wrapText="1"/>
    </xf>
    <xf numFmtId="0" fontId="126" fillId="2" borderId="34" xfId="7" applyFont="1" applyFill="1" applyBorder="1" applyAlignment="1" applyProtection="1">
      <alignment horizontal="justify" vertical="center" wrapText="1"/>
    </xf>
    <xf numFmtId="0" fontId="126" fillId="2" borderId="34" xfId="0" applyFont="1" applyFill="1" applyBorder="1" applyAlignment="1" applyProtection="1">
      <alignment horizontal="center" vertical="center" wrapText="1"/>
    </xf>
    <xf numFmtId="0" fontId="127" fillId="2" borderId="34" xfId="7" applyFont="1" applyFill="1" applyBorder="1" applyAlignment="1" applyProtection="1">
      <alignment horizontal="justify" vertical="center" wrapText="1"/>
    </xf>
    <xf numFmtId="0" fontId="111" fillId="73" borderId="34" xfId="12" applyFont="1" applyFill="1" applyBorder="1" applyAlignment="1">
      <alignment horizontal="justify" vertical="center" wrapText="1"/>
    </xf>
    <xf numFmtId="0" fontId="104" fillId="73" borderId="34" xfId="12" applyFont="1" applyFill="1" applyBorder="1" applyAlignment="1">
      <alignment horizontal="justify" vertical="center" wrapText="1"/>
    </xf>
    <xf numFmtId="1" fontId="102" fillId="2" borderId="34" xfId="12" applyNumberFormat="1" applyFont="1" applyFill="1" applyBorder="1" applyAlignment="1" applyProtection="1">
      <alignment horizontal="center" vertical="center" wrapText="1"/>
    </xf>
    <xf numFmtId="0" fontId="113" fillId="2" borderId="34" xfId="7" applyFont="1" applyFill="1" applyBorder="1" applyAlignment="1" applyProtection="1">
      <alignment horizontal="justify" vertical="center" wrapText="1"/>
    </xf>
    <xf numFmtId="0" fontId="111" fillId="2" borderId="34" xfId="7" applyFont="1" applyFill="1" applyBorder="1" applyAlignment="1" applyProtection="1">
      <alignment horizontal="center" vertical="center"/>
    </xf>
    <xf numFmtId="0" fontId="111" fillId="2" borderId="34" xfId="7" applyFont="1" applyFill="1" applyBorder="1" applyAlignment="1" applyProtection="1">
      <alignment horizontal="justify" vertical="center" wrapText="1"/>
    </xf>
    <xf numFmtId="0" fontId="126" fillId="0" borderId="34" xfId="7" applyFont="1" applyFill="1" applyBorder="1" applyAlignment="1" applyProtection="1">
      <alignment horizontal="justify" vertical="center" wrapText="1"/>
      <protection locked="0"/>
    </xf>
    <xf numFmtId="0" fontId="103" fillId="2" borderId="34" xfId="0" applyFont="1" applyFill="1" applyBorder="1" applyAlignment="1" applyProtection="1">
      <alignment horizontal="justify" vertical="center" wrapText="1"/>
    </xf>
    <xf numFmtId="0" fontId="102" fillId="2" borderId="34" xfId="0" applyFont="1" applyFill="1" applyBorder="1" applyAlignment="1" applyProtection="1">
      <alignment horizontal="center" vertical="center" wrapText="1"/>
    </xf>
    <xf numFmtId="0" fontId="127" fillId="0" borderId="34" xfId="0" applyFont="1" applyBorder="1" applyAlignment="1" applyProtection="1">
      <alignment horizontal="justify" vertical="center" wrapText="1"/>
    </xf>
    <xf numFmtId="0" fontId="113" fillId="0" borderId="34" xfId="7" applyFont="1" applyBorder="1" applyAlignment="1" applyProtection="1">
      <alignment horizontal="justify" vertical="center" wrapText="1"/>
    </xf>
    <xf numFmtId="0" fontId="111" fillId="0" borderId="34" xfId="7" applyFont="1" applyBorder="1" applyAlignment="1" applyProtection="1">
      <alignment horizontal="center" vertical="center"/>
    </xf>
    <xf numFmtId="0" fontId="113" fillId="0" borderId="44" xfId="7" applyFont="1" applyBorder="1" applyAlignment="1" applyProtection="1">
      <alignment horizontal="justify" vertical="center" wrapText="1"/>
    </xf>
    <xf numFmtId="0" fontId="111" fillId="0" borderId="44" xfId="7" applyFont="1" applyBorder="1" applyAlignment="1" applyProtection="1">
      <alignment horizontal="center" vertical="center"/>
    </xf>
    <xf numFmtId="4" fontId="111" fillId="0" borderId="44" xfId="0" applyNumberFormat="1" applyFont="1" applyFill="1" applyBorder="1" applyAlignment="1" applyProtection="1">
      <alignment horizontal="right" vertical="center" wrapText="1"/>
    </xf>
    <xf numFmtId="1" fontId="102" fillId="0" borderId="82" xfId="12" applyNumberFormat="1" applyFont="1" applyBorder="1" applyAlignment="1" applyProtection="1">
      <alignment horizontal="center" vertical="center" wrapText="1"/>
    </xf>
    <xf numFmtId="0" fontId="113" fillId="0" borderId="82" xfId="7" applyFont="1" applyFill="1" applyBorder="1" applyAlignment="1" applyProtection="1">
      <alignment horizontal="justify" vertical="center" wrapText="1"/>
    </xf>
    <xf numFmtId="0" fontId="111" fillId="0" borderId="82" xfId="7" applyFont="1" applyBorder="1" applyAlignment="1" applyProtection="1">
      <alignment horizontal="center" vertical="center"/>
    </xf>
    <xf numFmtId="0" fontId="113" fillId="73" borderId="82" xfId="7" applyFont="1" applyFill="1" applyBorder="1" applyAlignment="1" applyProtection="1">
      <alignment horizontal="justify" vertical="center" wrapText="1"/>
    </xf>
    <xf numFmtId="0" fontId="111" fillId="73" borderId="82" xfId="7" applyFont="1" applyFill="1" applyBorder="1" applyAlignment="1" applyProtection="1">
      <alignment horizontal="center" vertical="center"/>
    </xf>
    <xf numFmtId="4" fontId="111" fillId="73" borderId="82" xfId="0" applyNumberFormat="1" applyFont="1" applyFill="1" applyBorder="1" applyAlignment="1" applyProtection="1">
      <alignment horizontal="right" vertical="center" wrapText="1"/>
    </xf>
    <xf numFmtId="1" fontId="93" fillId="73" borderId="34" xfId="11" applyNumberFormat="1" applyFont="1" applyFill="1" applyBorder="1" applyAlignment="1" applyProtection="1">
      <alignment horizontal="right" vertical="center" wrapText="1"/>
    </xf>
    <xf numFmtId="0" fontId="126" fillId="73" borderId="34" xfId="7" applyFont="1" applyFill="1" applyBorder="1" applyAlignment="1" applyProtection="1">
      <alignment horizontal="justify" vertical="center" wrapText="1"/>
    </xf>
    <xf numFmtId="0" fontId="126" fillId="73" borderId="34" xfId="0" applyFont="1" applyFill="1" applyBorder="1" applyAlignment="1" applyProtection="1">
      <alignment horizontal="center" vertical="center" wrapText="1"/>
    </xf>
    <xf numFmtId="0" fontId="93" fillId="73" borderId="34" xfId="12" applyFont="1" applyFill="1" applyBorder="1" applyAlignment="1" applyProtection="1">
      <alignment horizontal="right" vertical="center" wrapText="1"/>
    </xf>
    <xf numFmtId="2" fontId="93" fillId="73" borderId="34" xfId="12" applyNumberFormat="1" applyFont="1" applyFill="1" applyBorder="1" applyAlignment="1" applyProtection="1">
      <alignment horizontal="right" vertical="center" wrapText="1"/>
    </xf>
    <xf numFmtId="1" fontId="93" fillId="73" borderId="82" xfId="12" applyNumberFormat="1" applyFont="1" applyFill="1" applyBorder="1" applyAlignment="1" applyProtection="1">
      <alignment horizontal="right" vertical="center" wrapText="1"/>
    </xf>
    <xf numFmtId="0" fontId="93" fillId="75" borderId="34" xfId="0" applyFont="1" applyFill="1" applyBorder="1" applyAlignment="1" applyProtection="1">
      <alignment horizontal="right" vertical="center" wrapText="1"/>
    </xf>
    <xf numFmtId="49" fontId="93" fillId="75" borderId="34" xfId="11" applyNumberFormat="1" applyFont="1" applyFill="1" applyBorder="1" applyAlignment="1" applyProtection="1">
      <alignment horizontal="right" vertical="center" wrapText="1"/>
    </xf>
    <xf numFmtId="0" fontId="93" fillId="75" borderId="34" xfId="12" applyFont="1" applyFill="1" applyBorder="1" applyAlignment="1" applyProtection="1">
      <alignment horizontal="right" vertical="center" wrapText="1"/>
    </xf>
    <xf numFmtId="49" fontId="93" fillId="75" borderId="34" xfId="0" applyNumberFormat="1" applyFont="1" applyFill="1" applyBorder="1" applyAlignment="1" applyProtection="1">
      <alignment horizontal="right" vertical="center"/>
    </xf>
    <xf numFmtId="0" fontId="93" fillId="75" borderId="34" xfId="0" applyFont="1" applyFill="1" applyBorder="1" applyAlignment="1" applyProtection="1">
      <alignment horizontal="right" vertical="center"/>
    </xf>
    <xf numFmtId="4" fontId="93" fillId="75" borderId="34" xfId="0" applyNumberFormat="1" applyFont="1" applyFill="1" applyBorder="1" applyAlignment="1" applyProtection="1">
      <alignment horizontal="right" vertical="center"/>
    </xf>
    <xf numFmtId="0" fontId="114" fillId="0" borderId="46" xfId="0" applyFont="1" applyBorder="1" applyAlignment="1" applyProtection="1">
      <alignment horizontal="right" vertical="center" wrapText="1"/>
    </xf>
    <xf numFmtId="0" fontId="114" fillId="71" borderId="34" xfId="0" applyFont="1" applyFill="1" applyBorder="1" applyAlignment="1" applyProtection="1">
      <alignment horizontal="justify" vertical="center" wrapText="1"/>
    </xf>
    <xf numFmtId="0" fontId="114" fillId="71" borderId="34" xfId="0" applyFont="1" applyFill="1" applyBorder="1" applyAlignment="1" applyProtection="1">
      <alignment horizontal="center" vertical="center" wrapText="1"/>
    </xf>
    <xf numFmtId="4" fontId="114" fillId="71" borderId="34" xfId="0" applyNumberFormat="1" applyFont="1" applyFill="1" applyBorder="1" applyAlignment="1" applyProtection="1">
      <alignment horizontal="right" vertical="center" wrapText="1"/>
    </xf>
    <xf numFmtId="4" fontId="114" fillId="0" borderId="34" xfId="0" applyNumberFormat="1" applyFont="1" applyFill="1" applyBorder="1" applyAlignment="1" applyProtection="1">
      <alignment horizontal="right" vertical="center" wrapText="1"/>
    </xf>
    <xf numFmtId="0" fontId="125" fillId="71" borderId="34" xfId="0" applyFont="1" applyFill="1" applyBorder="1" applyAlignment="1" applyProtection="1">
      <alignment horizontal="justify" vertical="center" wrapText="1"/>
    </xf>
    <xf numFmtId="0" fontId="102" fillId="0" borderId="44" xfId="0" applyFont="1" applyBorder="1" applyAlignment="1" applyProtection="1">
      <alignment horizontal="center" vertical="center" wrapText="1"/>
    </xf>
    <xf numFmtId="0" fontId="125" fillId="0" borderId="44" xfId="0" applyFont="1" applyBorder="1" applyAlignment="1" applyProtection="1">
      <alignment horizontal="justify" vertical="center" wrapText="1"/>
    </xf>
    <xf numFmtId="0" fontId="114" fillId="0" borderId="44" xfId="0" applyFont="1" applyBorder="1" applyAlignment="1" applyProtection="1">
      <alignment horizontal="center" vertical="center" wrapText="1"/>
    </xf>
    <xf numFmtId="4" fontId="114" fillId="0" borderId="44" xfId="0" applyNumberFormat="1" applyFont="1" applyFill="1" applyBorder="1" applyAlignment="1" applyProtection="1">
      <alignment horizontal="right" vertical="center" wrapText="1"/>
    </xf>
    <xf numFmtId="0" fontId="102" fillId="0" borderId="82" xfId="0" applyFont="1" applyBorder="1" applyAlignment="1" applyProtection="1">
      <alignment horizontal="center" vertical="center" wrapText="1"/>
    </xf>
    <xf numFmtId="0" fontId="114" fillId="0" borderId="82" xfId="0" applyFont="1" applyBorder="1" applyAlignment="1" applyProtection="1">
      <alignment horizontal="center" vertical="center" wrapText="1"/>
    </xf>
    <xf numFmtId="4" fontId="114" fillId="71" borderId="34" xfId="0" applyNumberFormat="1" applyFont="1" applyFill="1" applyBorder="1" applyAlignment="1" applyProtection="1">
      <alignment vertical="center" wrapText="1"/>
    </xf>
    <xf numFmtId="4" fontId="114" fillId="0" borderId="45" xfId="0" applyNumberFormat="1" applyFont="1" applyFill="1" applyBorder="1" applyAlignment="1" applyProtection="1">
      <alignment horizontal="right" vertical="center" wrapText="1"/>
    </xf>
    <xf numFmtId="0" fontId="125" fillId="0" borderId="78" xfId="0" applyFont="1" applyFill="1" applyBorder="1" applyAlignment="1" applyProtection="1">
      <alignment horizontal="justify" vertical="center" wrapText="1"/>
    </xf>
    <xf numFmtId="0" fontId="82" fillId="0" borderId="78" xfId="12" applyFont="1" applyFill="1" applyBorder="1" applyAlignment="1">
      <alignment horizontal="center" vertical="center" wrapText="1"/>
    </xf>
    <xf numFmtId="0" fontId="102" fillId="0" borderId="78" xfId="0" applyFont="1" applyBorder="1" applyAlignment="1" applyProtection="1">
      <alignment horizontal="center" vertical="center" wrapText="1"/>
    </xf>
    <xf numFmtId="0" fontId="102" fillId="0" borderId="78" xfId="0" applyFont="1" applyBorder="1" applyAlignment="1" applyProtection="1">
      <alignment horizontal="left" vertical="center" wrapText="1"/>
    </xf>
    <xf numFmtId="4" fontId="114" fillId="0" borderId="78" xfId="0" applyNumberFormat="1" applyFont="1" applyFill="1" applyBorder="1" applyAlignment="1" applyProtection="1">
      <alignment horizontal="right" vertical="center" wrapText="1"/>
    </xf>
    <xf numFmtId="0" fontId="102" fillId="0" borderId="86" xfId="0" applyFont="1" applyBorder="1" applyAlignment="1" applyProtection="1">
      <alignment horizontal="center" vertical="center" wrapText="1"/>
    </xf>
    <xf numFmtId="0" fontId="125" fillId="0" borderId="86" xfId="0" applyFont="1" applyFill="1" applyBorder="1" applyAlignment="1" applyProtection="1">
      <alignment horizontal="justify" vertical="center" wrapText="1"/>
    </xf>
    <xf numFmtId="0" fontId="114" fillId="0" borderId="86" xfId="0" applyFont="1" applyBorder="1" applyAlignment="1" applyProtection="1">
      <alignment horizontal="center" vertical="center" wrapText="1"/>
    </xf>
    <xf numFmtId="0" fontId="114" fillId="75" borderId="82" xfId="0" applyFont="1" applyFill="1" applyBorder="1" applyAlignment="1" applyProtection="1">
      <alignment horizontal="center" vertical="center" wrapText="1"/>
    </xf>
    <xf numFmtId="4" fontId="114" fillId="75" borderId="44" xfId="0" applyNumberFormat="1" applyFont="1" applyFill="1" applyBorder="1" applyAlignment="1" applyProtection="1">
      <alignment horizontal="right" vertical="center" wrapText="1"/>
    </xf>
    <xf numFmtId="0" fontId="114" fillId="76" borderId="82" xfId="0" applyFont="1" applyFill="1" applyBorder="1" applyAlignment="1" applyProtection="1">
      <alignment horizontal="center" vertical="center" wrapText="1"/>
    </xf>
    <xf numFmtId="4" fontId="114" fillId="76" borderId="44" xfId="0" applyNumberFormat="1" applyFont="1" applyFill="1" applyBorder="1" applyAlignment="1" applyProtection="1">
      <alignment horizontal="right" vertical="center" wrapText="1"/>
    </xf>
    <xf numFmtId="0" fontId="125" fillId="0" borderId="82" xfId="0" applyFont="1" applyFill="1" applyBorder="1" applyAlignment="1" applyProtection="1">
      <alignment horizontal="justify" vertical="center" wrapText="1"/>
    </xf>
    <xf numFmtId="0" fontId="114" fillId="76" borderId="85" xfId="0" applyFont="1" applyFill="1" applyBorder="1" applyAlignment="1" applyProtection="1">
      <alignment horizontal="center" vertical="center" wrapText="1"/>
    </xf>
    <xf numFmtId="0" fontId="114" fillId="0" borderId="78" xfId="0" applyFont="1" applyFill="1" applyBorder="1" applyAlignment="1" applyProtection="1">
      <alignment horizontal="center" vertical="center" wrapText="1"/>
    </xf>
    <xf numFmtId="49" fontId="93" fillId="71" borderId="34" xfId="0" applyNumberFormat="1" applyFont="1" applyFill="1" applyBorder="1" applyAlignment="1" applyProtection="1">
      <alignment horizontal="right" vertical="center" wrapText="1"/>
    </xf>
    <xf numFmtId="0" fontId="93" fillId="71" borderId="34" xfId="0" applyFont="1" applyFill="1" applyBorder="1" applyAlignment="1" applyProtection="1">
      <alignment horizontal="right" vertical="center" wrapText="1"/>
    </xf>
    <xf numFmtId="4" fontId="134" fillId="75" borderId="34" xfId="0" applyNumberFormat="1" applyFont="1" applyFill="1" applyBorder="1" applyAlignment="1" applyProtection="1">
      <alignment horizontal="center" vertical="center" wrapText="1"/>
    </xf>
    <xf numFmtId="0" fontId="93" fillId="75" borderId="34" xfId="0" applyFont="1" applyFill="1" applyBorder="1" applyAlignment="1" applyProtection="1">
      <alignment horizontal="center" vertical="center" wrapText="1"/>
    </xf>
    <xf numFmtId="0" fontId="103" fillId="73" borderId="34" xfId="0" applyFont="1" applyFill="1" applyBorder="1" applyAlignment="1" applyProtection="1">
      <alignment horizontal="justify" vertical="center" wrapText="1"/>
    </xf>
    <xf numFmtId="0" fontId="134" fillId="71" borderId="34" xfId="0" applyFont="1" applyFill="1" applyBorder="1" applyAlignment="1" applyProtection="1">
      <alignment horizontal="center" vertical="center" wrapText="1"/>
    </xf>
    <xf numFmtId="0" fontId="126" fillId="73" borderId="34" xfId="7" applyFont="1" applyFill="1" applyBorder="1" applyAlignment="1" applyProtection="1">
      <alignment horizontal="justify" vertical="center" wrapText="1"/>
      <protection locked="0"/>
    </xf>
    <xf numFmtId="0" fontId="114" fillId="73" borderId="34" xfId="0" applyFont="1" applyFill="1" applyBorder="1" applyAlignment="1" applyProtection="1">
      <alignment horizontal="center" vertical="center" wrapText="1"/>
      <protection locked="0"/>
    </xf>
    <xf numFmtId="0" fontId="111" fillId="73" borderId="34" xfId="0" applyFont="1" applyFill="1" applyBorder="1" applyAlignment="1" applyProtection="1">
      <alignment horizontal="center" vertical="center" wrapText="1"/>
    </xf>
    <xf numFmtId="0" fontId="103" fillId="73" borderId="34" xfId="12" applyFont="1" applyFill="1" applyBorder="1" applyAlignment="1">
      <alignment horizontal="left" vertical="center" wrapText="1"/>
    </xf>
    <xf numFmtId="16" fontId="120" fillId="0" borderId="0" xfId="0" applyNumberFormat="1" applyFont="1" applyAlignment="1" applyProtection="1">
      <alignment horizontal="center" vertical="center"/>
    </xf>
    <xf numFmtId="0" fontId="86" fillId="0" borderId="0" xfId="0" applyFont="1" applyAlignment="1" applyProtection="1"/>
    <xf numFmtId="0" fontId="96" fillId="0" borderId="51" xfId="0" applyFont="1" applyBorder="1" applyAlignment="1" applyProtection="1">
      <alignment wrapText="1"/>
    </xf>
    <xf numFmtId="0" fontId="125" fillId="0" borderId="78" xfId="0" applyFont="1" applyFill="1" applyBorder="1" applyAlignment="1" applyProtection="1">
      <alignment horizontal="left" vertical="center" wrapText="1"/>
    </xf>
    <xf numFmtId="0" fontId="91" fillId="0" borderId="78" xfId="0" applyFont="1" applyFill="1" applyBorder="1" applyAlignment="1">
      <alignment horizontal="center" vertical="center"/>
    </xf>
    <xf numFmtId="4" fontId="0" fillId="0" borderId="0" xfId="0" applyNumberFormat="1" applyAlignment="1">
      <alignment horizontal="center" vertical="center"/>
    </xf>
    <xf numFmtId="4" fontId="0" fillId="0" borderId="0" xfId="0" applyNumberFormat="1" applyFill="1" applyAlignment="1">
      <alignment horizontal="center" vertical="center"/>
    </xf>
    <xf numFmtId="4" fontId="137" fillId="0" borderId="0" xfId="0" applyNumberFormat="1" applyFont="1"/>
    <xf numFmtId="0" fontId="111" fillId="73" borderId="82" xfId="7" applyFont="1" applyFill="1" applyBorder="1" applyAlignment="1" applyProtection="1">
      <alignment horizontal="justify" vertical="center" wrapText="1"/>
    </xf>
    <xf numFmtId="0" fontId="111" fillId="75" borderId="34" xfId="0" applyFont="1" applyFill="1" applyBorder="1" applyAlignment="1" applyProtection="1">
      <alignment horizontal="justify" vertical="center" wrapText="1"/>
    </xf>
    <xf numFmtId="0" fontId="6" fillId="0" borderId="44" xfId="0" applyFont="1" applyFill="1" applyBorder="1" applyAlignment="1" applyProtection="1">
      <alignment horizontal="center" vertical="center"/>
    </xf>
    <xf numFmtId="0" fontId="6" fillId="0" borderId="45" xfId="0" applyFont="1" applyFill="1" applyBorder="1" applyAlignment="1" applyProtection="1">
      <alignment horizontal="center" vertical="center"/>
    </xf>
    <xf numFmtId="0" fontId="6" fillId="0" borderId="40" xfId="0" applyFont="1" applyFill="1" applyBorder="1" applyAlignment="1" applyProtection="1">
      <alignment horizontal="center" vertical="center"/>
    </xf>
    <xf numFmtId="0" fontId="91" fillId="69" borderId="32" xfId="0" applyFont="1" applyFill="1" applyBorder="1" applyAlignment="1" applyProtection="1">
      <alignment horizontal="justify" wrapText="1"/>
    </xf>
    <xf numFmtId="0" fontId="91" fillId="69" borderId="33" xfId="0" applyFont="1" applyFill="1" applyBorder="1" applyAlignment="1" applyProtection="1">
      <alignment horizontal="justify" wrapText="1"/>
    </xf>
    <xf numFmtId="0" fontId="116" fillId="0" borderId="0" xfId="7" applyFont="1" applyAlignment="1" applyProtection="1">
      <alignment horizontal="left"/>
    </xf>
    <xf numFmtId="0" fontId="100" fillId="0" borderId="29" xfId="7" applyFont="1" applyBorder="1" applyAlignment="1" applyProtection="1">
      <alignment horizontal="left" vertical="top" wrapText="1"/>
    </xf>
    <xf numFmtId="0" fontId="100" fillId="0" borderId="30" xfId="7" applyFont="1" applyBorder="1" applyAlignment="1" applyProtection="1">
      <alignment horizontal="left" vertical="top" wrapText="1"/>
    </xf>
    <xf numFmtId="0" fontId="100" fillId="0" borderId="31" xfId="7" applyFont="1" applyBorder="1" applyAlignment="1" applyProtection="1">
      <alignment horizontal="left" vertical="top" wrapText="1"/>
    </xf>
    <xf numFmtId="0" fontId="100" fillId="69" borderId="29" xfId="7" applyFont="1" applyFill="1" applyBorder="1" applyAlignment="1" applyProtection="1">
      <alignment horizontal="justify" vertical="center" wrapText="1"/>
    </xf>
    <xf numFmtId="0" fontId="100" fillId="69" borderId="30" xfId="7" applyFont="1" applyFill="1" applyBorder="1" applyAlignment="1" applyProtection="1">
      <alignment horizontal="justify" vertical="center" wrapText="1"/>
    </xf>
    <xf numFmtId="0" fontId="100" fillId="69" borderId="31" xfId="7" applyFont="1" applyFill="1" applyBorder="1" applyAlignment="1" applyProtection="1">
      <alignment horizontal="justify" vertical="center" wrapText="1"/>
    </xf>
    <xf numFmtId="0" fontId="101" fillId="69" borderId="28" xfId="7" applyFont="1" applyFill="1" applyBorder="1" applyAlignment="1" applyProtection="1">
      <alignment horizontal="justify" vertical="top" wrapText="1"/>
    </xf>
    <xf numFmtId="0" fontId="100" fillId="0" borderId="28" xfId="7" applyFont="1" applyBorder="1" applyAlignment="1" applyProtection="1">
      <alignment horizontal="justify" vertical="top" wrapText="1"/>
    </xf>
    <xf numFmtId="0" fontId="102" fillId="75" borderId="35" xfId="0" applyFont="1" applyFill="1" applyBorder="1" applyAlignment="1" applyProtection="1">
      <alignment horizontal="justify" vertical="center" wrapText="1"/>
    </xf>
    <xf numFmtId="0" fontId="102" fillId="75" borderId="39" xfId="0" applyFont="1" applyFill="1" applyBorder="1" applyAlignment="1" applyProtection="1">
      <alignment horizontal="justify" vertical="center" wrapText="1"/>
    </xf>
    <xf numFmtId="0" fontId="114" fillId="0" borderId="35" xfId="0" applyFont="1" applyFill="1" applyBorder="1" applyAlignment="1" applyProtection="1">
      <alignment horizontal="justify" vertical="center" wrapText="1"/>
    </xf>
    <xf numFmtId="0" fontId="114" fillId="0" borderId="39" xfId="0" applyFont="1" applyFill="1" applyBorder="1" applyAlignment="1" applyProtection="1">
      <alignment horizontal="justify" vertical="center" wrapText="1"/>
    </xf>
    <xf numFmtId="4" fontId="114" fillId="75" borderId="35" xfId="1" applyNumberFormat="1" applyFont="1" applyFill="1" applyBorder="1" applyAlignment="1" applyProtection="1">
      <alignment horizontal="left" vertical="center"/>
    </xf>
    <xf numFmtId="4" fontId="114" fillId="75" borderId="39" xfId="1" applyNumberFormat="1" applyFont="1" applyFill="1" applyBorder="1" applyAlignment="1" applyProtection="1">
      <alignment horizontal="left" vertical="center"/>
    </xf>
    <xf numFmtId="0" fontId="100" fillId="69" borderId="28" xfId="7" applyFont="1" applyFill="1" applyBorder="1" applyAlignment="1" applyProtection="1">
      <alignment horizontal="justify" vertical="top" wrapText="1"/>
    </xf>
    <xf numFmtId="0" fontId="100" fillId="0" borderId="28" xfId="0" applyFont="1" applyFill="1" applyBorder="1" applyAlignment="1" applyProtection="1">
      <alignment horizontal="justify" vertical="top" wrapText="1"/>
    </xf>
    <xf numFmtId="0" fontId="111" fillId="0" borderId="34" xfId="7" applyFont="1" applyBorder="1" applyAlignment="1" applyProtection="1">
      <alignment horizontal="justify" vertical="center" wrapText="1"/>
    </xf>
    <xf numFmtId="0" fontId="100" fillId="69" borderId="29" xfId="0" applyFont="1" applyFill="1" applyBorder="1" applyAlignment="1" applyProtection="1">
      <alignment horizontal="left" vertical="center" wrapText="1"/>
    </xf>
    <xf numFmtId="0" fontId="100" fillId="69" borderId="30" xfId="0" applyFont="1" applyFill="1" applyBorder="1" applyAlignment="1" applyProtection="1">
      <alignment horizontal="left" vertical="center" wrapText="1"/>
    </xf>
    <xf numFmtId="0" fontId="100" fillId="69" borderId="31" xfId="0" applyFont="1" applyFill="1" applyBorder="1" applyAlignment="1" applyProtection="1">
      <alignment horizontal="left" vertical="center" wrapText="1"/>
    </xf>
    <xf numFmtId="0" fontId="90" fillId="0" borderId="28" xfId="7" applyFont="1" applyBorder="1" applyAlignment="1" applyProtection="1">
      <alignment horizontal="left" vertical="center" wrapText="1"/>
    </xf>
    <xf numFmtId="0" fontId="111" fillId="0" borderId="34" xfId="12" applyFont="1" applyFill="1" applyBorder="1" applyAlignment="1">
      <alignment horizontal="left" vertical="center" wrapText="1"/>
    </xf>
    <xf numFmtId="0" fontId="114" fillId="0" borderId="34" xfId="0" applyFont="1" applyFill="1" applyBorder="1" applyAlignment="1" applyProtection="1">
      <alignment horizontal="justify" vertical="center" wrapText="1"/>
    </xf>
    <xf numFmtId="0" fontId="114" fillId="75" borderId="34" xfId="0" applyFont="1" applyFill="1" applyBorder="1" applyAlignment="1" applyProtection="1">
      <alignment horizontal="justify" vertical="center" wrapText="1"/>
    </xf>
    <xf numFmtId="1" fontId="91" fillId="0" borderId="44" xfId="12" applyNumberFormat="1" applyFont="1" applyFill="1" applyBorder="1" applyAlignment="1" applyProtection="1">
      <alignment horizontal="center" vertical="center" wrapText="1"/>
    </xf>
    <xf numFmtId="1" fontId="91" fillId="0" borderId="50" xfId="12" applyNumberFormat="1" applyFont="1" applyFill="1" applyBorder="1" applyAlignment="1" applyProtection="1">
      <alignment horizontal="center" vertical="center" wrapText="1"/>
    </xf>
    <xf numFmtId="0" fontId="111" fillId="0" borderId="46" xfId="0" applyFont="1" applyFill="1" applyBorder="1" applyAlignment="1" applyProtection="1">
      <alignment horizontal="justify" vertical="center" wrapText="1"/>
    </xf>
    <xf numFmtId="0" fontId="111" fillId="75" borderId="34" xfId="0" applyFont="1" applyFill="1" applyBorder="1" applyAlignment="1" applyProtection="1">
      <alignment horizontal="left" vertical="center" wrapText="1"/>
    </xf>
    <xf numFmtId="0" fontId="111" fillId="0" borderId="34" xfId="0" applyFont="1" applyFill="1" applyBorder="1" applyAlignment="1" applyProtection="1">
      <alignment horizontal="justify" vertical="center" wrapText="1"/>
    </xf>
    <xf numFmtId="0" fontId="111" fillId="0" borderId="35" xfId="0" applyFont="1" applyFill="1" applyBorder="1" applyAlignment="1" applyProtection="1">
      <alignment horizontal="center" vertical="center" wrapText="1"/>
    </xf>
    <xf numFmtId="0" fontId="111" fillId="0" borderId="39" xfId="0" applyFont="1" applyFill="1" applyBorder="1" applyAlignment="1" applyProtection="1">
      <alignment horizontal="center" vertical="center" wrapText="1"/>
    </xf>
    <xf numFmtId="1" fontId="108" fillId="74" borderId="68" xfId="12" applyNumberFormat="1" applyFont="1" applyFill="1" applyBorder="1" applyAlignment="1" applyProtection="1">
      <alignment horizontal="left" vertical="center" wrapText="1"/>
    </xf>
    <xf numFmtId="1" fontId="108" fillId="74" borderId="69" xfId="12" applyNumberFormat="1" applyFont="1" applyFill="1" applyBorder="1" applyAlignment="1" applyProtection="1">
      <alignment horizontal="left" vertical="center" wrapText="1"/>
    </xf>
    <xf numFmtId="1" fontId="108" fillId="74" borderId="70" xfId="12" applyNumberFormat="1" applyFont="1" applyFill="1" applyBorder="1" applyAlignment="1" applyProtection="1">
      <alignment horizontal="left" vertical="center" wrapText="1"/>
    </xf>
    <xf numFmtId="1" fontId="108" fillId="74" borderId="71" xfId="12" applyNumberFormat="1" applyFont="1" applyFill="1" applyBorder="1" applyAlignment="1" applyProtection="1">
      <alignment horizontal="left" vertical="center" wrapText="1"/>
    </xf>
    <xf numFmtId="1" fontId="108" fillId="74" borderId="72" xfId="12" applyNumberFormat="1" applyFont="1" applyFill="1" applyBorder="1" applyAlignment="1" applyProtection="1">
      <alignment horizontal="left" vertical="center" wrapText="1"/>
    </xf>
    <xf numFmtId="1" fontId="108" fillId="74" borderId="73" xfId="12" applyNumberFormat="1" applyFont="1" applyFill="1" applyBorder="1" applyAlignment="1" applyProtection="1">
      <alignment horizontal="left" vertical="center" wrapText="1"/>
    </xf>
    <xf numFmtId="1" fontId="108" fillId="74" borderId="45" xfId="11" applyNumberFormat="1" applyFont="1" applyFill="1" applyBorder="1" applyAlignment="1" applyProtection="1">
      <alignment horizontal="center" vertical="center"/>
    </xf>
    <xf numFmtId="1" fontId="108" fillId="74" borderId="46" xfId="11" applyNumberFormat="1" applyFont="1" applyFill="1" applyBorder="1" applyAlignment="1" applyProtection="1">
      <alignment horizontal="center" vertical="center"/>
    </xf>
    <xf numFmtId="0" fontId="100" fillId="0" borderId="34" xfId="11" applyFont="1" applyFill="1" applyBorder="1" applyAlignment="1" applyProtection="1">
      <alignment horizontal="center" vertical="center" wrapText="1"/>
    </xf>
    <xf numFmtId="0" fontId="100" fillId="0" borderId="44" xfId="11" applyFont="1" applyFill="1" applyBorder="1" applyAlignment="1" applyProtection="1">
      <alignment horizontal="center" vertical="center" wrapText="1"/>
    </xf>
    <xf numFmtId="0" fontId="91" fillId="0" borderId="34" xfId="0" applyFont="1" applyFill="1" applyBorder="1" applyAlignment="1" applyProtection="1">
      <alignment horizontal="justify" vertical="center"/>
    </xf>
    <xf numFmtId="0" fontId="91" fillId="0" borderId="44" xfId="0" applyFont="1" applyFill="1" applyBorder="1" applyAlignment="1" applyProtection="1">
      <alignment horizontal="justify" vertical="center"/>
    </xf>
    <xf numFmtId="0" fontId="91" fillId="0" borderId="34" xfId="0" applyFont="1" applyFill="1" applyBorder="1" applyAlignment="1" applyProtection="1">
      <alignment horizontal="center" vertical="center" wrapText="1"/>
    </xf>
    <xf numFmtId="0" fontId="91" fillId="0" borderId="44" xfId="0" applyFont="1" applyFill="1" applyBorder="1" applyAlignment="1" applyProtection="1">
      <alignment horizontal="center" vertical="center" wrapText="1"/>
    </xf>
    <xf numFmtId="0" fontId="91" fillId="0" borderId="34" xfId="0" applyFont="1" applyFill="1" applyBorder="1" applyAlignment="1" applyProtection="1">
      <alignment horizontal="center" vertical="center"/>
    </xf>
    <xf numFmtId="0" fontId="91" fillId="0" borderId="44" xfId="0" applyFont="1" applyFill="1" applyBorder="1" applyAlignment="1" applyProtection="1">
      <alignment horizontal="center" vertical="center"/>
    </xf>
    <xf numFmtId="4" fontId="91" fillId="0" borderId="34" xfId="0" applyNumberFormat="1" applyFont="1" applyFill="1" applyBorder="1" applyAlignment="1" applyProtection="1">
      <alignment horizontal="center" vertical="center" wrapText="1"/>
    </xf>
    <xf numFmtId="4" fontId="91" fillId="0" borderId="35" xfId="0" applyNumberFormat="1" applyFont="1" applyFill="1" applyBorder="1" applyAlignment="1" applyProtection="1">
      <alignment horizontal="center" vertical="center" wrapText="1"/>
    </xf>
    <xf numFmtId="4" fontId="92" fillId="0" borderId="44" xfId="3229" applyNumberFormat="1" applyFont="1" applyFill="1" applyBorder="1" applyAlignment="1" applyProtection="1">
      <alignment horizontal="center" vertical="center"/>
    </xf>
    <xf numFmtId="49" fontId="114" fillId="0" borderId="34" xfId="0" applyNumberFormat="1" applyFont="1" applyFill="1" applyBorder="1" applyAlignment="1" applyProtection="1">
      <alignment horizontal="justify" vertical="center" wrapText="1"/>
    </xf>
    <xf numFmtId="0" fontId="111" fillId="73" borderId="34" xfId="0" applyFont="1" applyFill="1" applyBorder="1" applyAlignment="1" applyProtection="1">
      <alignment horizontal="center" vertical="center" wrapText="1"/>
    </xf>
    <xf numFmtId="0" fontId="118" fillId="68" borderId="74" xfId="11" applyFont="1" applyFill="1" applyBorder="1" applyAlignment="1" applyProtection="1">
      <alignment horizontal="left" vertical="center"/>
    </xf>
    <xf numFmtId="0" fontId="118" fillId="68" borderId="75" xfId="11" applyFont="1" applyFill="1" applyBorder="1" applyAlignment="1" applyProtection="1">
      <alignment horizontal="left" vertical="center"/>
    </xf>
    <xf numFmtId="0" fontId="102" fillId="0" borderId="79" xfId="0" applyFont="1" applyFill="1" applyBorder="1" applyAlignment="1" applyProtection="1">
      <alignment horizontal="justify" vertical="center" wrapText="1"/>
    </xf>
    <xf numFmtId="0" fontId="102" fillId="0" borderId="80" xfId="0" applyFont="1" applyFill="1" applyBorder="1" applyAlignment="1" applyProtection="1">
      <alignment horizontal="justify" vertical="center" wrapText="1"/>
    </xf>
    <xf numFmtId="0" fontId="98" fillId="68" borderId="34" xfId="0" applyFont="1" applyFill="1" applyBorder="1" applyAlignment="1" applyProtection="1">
      <alignment horizontal="left" vertical="center" wrapText="1"/>
    </xf>
    <xf numFmtId="0" fontId="98" fillId="68" borderId="35" xfId="0" applyFont="1" applyFill="1" applyBorder="1" applyAlignment="1" applyProtection="1">
      <alignment horizontal="left" vertical="center" wrapText="1"/>
    </xf>
    <xf numFmtId="0" fontId="114" fillId="71" borderId="34" xfId="0" applyFont="1" applyFill="1" applyBorder="1" applyAlignment="1" applyProtection="1">
      <alignment horizontal="center" vertical="center" wrapText="1"/>
    </xf>
    <xf numFmtId="0" fontId="111" fillId="73" borderId="34" xfId="0" applyFont="1" applyFill="1" applyBorder="1" applyAlignment="1" applyProtection="1">
      <alignment horizontal="left" vertical="center" wrapText="1"/>
    </xf>
    <xf numFmtId="0" fontId="111" fillId="73" borderId="35" xfId="0" applyFont="1" applyFill="1" applyBorder="1" applyAlignment="1" applyProtection="1">
      <alignment horizontal="center" vertical="center" wrapText="1"/>
    </xf>
    <xf numFmtId="0" fontId="111" fillId="73" borderId="39" xfId="0" applyFont="1" applyFill="1" applyBorder="1" applyAlignment="1" applyProtection="1">
      <alignment horizontal="center" vertical="center" wrapText="1"/>
    </xf>
    <xf numFmtId="0" fontId="98" fillId="77" borderId="78" xfId="0" applyFont="1" applyFill="1" applyBorder="1" applyAlignment="1" applyProtection="1">
      <alignment horizontal="left" vertical="center" wrapText="1"/>
    </xf>
    <xf numFmtId="0" fontId="102" fillId="0" borderId="91" xfId="0" applyFont="1" applyBorder="1" applyAlignment="1" applyProtection="1">
      <alignment horizontal="left" vertical="center" wrapText="1"/>
    </xf>
    <xf numFmtId="0" fontId="102" fillId="0" borderId="92" xfId="0" applyFont="1" applyBorder="1" applyAlignment="1" applyProtection="1">
      <alignment horizontal="left" vertical="center" wrapText="1"/>
    </xf>
    <xf numFmtId="0" fontId="125" fillId="71" borderId="85" xfId="0" applyFont="1" applyFill="1" applyBorder="1" applyAlignment="1" applyProtection="1">
      <alignment horizontal="justify" vertical="center" wrapText="1"/>
    </xf>
    <xf numFmtId="0" fontId="125" fillId="71" borderId="86" xfId="0" applyFont="1" applyFill="1" applyBorder="1" applyAlignment="1" applyProtection="1">
      <alignment horizontal="justify" vertical="center" wrapText="1"/>
    </xf>
    <xf numFmtId="1" fontId="108" fillId="72" borderId="45" xfId="11" applyNumberFormat="1" applyFont="1" applyFill="1" applyBorder="1" applyAlignment="1" applyProtection="1">
      <alignment horizontal="center" vertical="center"/>
    </xf>
    <xf numFmtId="1" fontId="108" fillId="72" borderId="46" xfId="11" applyNumberFormat="1" applyFont="1" applyFill="1" applyBorder="1" applyAlignment="1" applyProtection="1">
      <alignment horizontal="center" vertical="center"/>
    </xf>
    <xf numFmtId="0" fontId="111" fillId="0" borderId="34" xfId="0" applyFont="1" applyBorder="1" applyAlignment="1" applyProtection="1">
      <alignment horizontal="justify" vertical="center" wrapText="1"/>
    </xf>
    <xf numFmtId="0" fontId="93" fillId="71" borderId="85" xfId="0" applyFont="1" applyFill="1" applyBorder="1" applyAlignment="1" applyProtection="1">
      <alignment horizontal="right" vertical="center" wrapText="1"/>
    </xf>
    <xf numFmtId="0" fontId="93" fillId="71" borderId="86" xfId="0" applyFont="1" applyFill="1" applyBorder="1" applyAlignment="1" applyProtection="1">
      <alignment horizontal="right" vertical="center" wrapText="1"/>
    </xf>
    <xf numFmtId="0" fontId="111" fillId="0" borderId="44" xfId="7" applyFont="1" applyBorder="1" applyAlignment="1" applyProtection="1">
      <alignment horizontal="justify" vertical="center" wrapText="1"/>
    </xf>
    <xf numFmtId="0" fontId="111" fillId="2" borderId="34" xfId="7" applyFont="1" applyFill="1" applyBorder="1" applyAlignment="1" applyProtection="1">
      <alignment horizontal="justify" vertical="center" wrapText="1"/>
    </xf>
    <xf numFmtId="0" fontId="111" fillId="2" borderId="34" xfId="0" applyFont="1" applyFill="1" applyBorder="1" applyAlignment="1" applyProtection="1">
      <alignment horizontal="justify" vertical="center" wrapText="1"/>
    </xf>
    <xf numFmtId="0" fontId="114" fillId="73" borderId="34" xfId="0" applyFont="1" applyFill="1" applyBorder="1" applyAlignment="1" applyProtection="1">
      <alignment horizontal="justify" vertical="center" wrapText="1"/>
      <protection locked="0"/>
    </xf>
    <xf numFmtId="0" fontId="114" fillId="73" borderId="35" xfId="0" applyFont="1" applyFill="1" applyBorder="1" applyAlignment="1" applyProtection="1">
      <alignment horizontal="justify" vertical="center" wrapText="1"/>
      <protection locked="0"/>
    </xf>
    <xf numFmtId="0" fontId="114" fillId="73" borderId="39" xfId="0" applyFont="1" applyFill="1" applyBorder="1" applyAlignment="1" applyProtection="1">
      <alignment horizontal="justify" vertical="center" wrapText="1"/>
      <protection locked="0"/>
    </xf>
    <xf numFmtId="0" fontId="102" fillId="0" borderId="35" xfId="0" applyFont="1" applyFill="1" applyBorder="1" applyAlignment="1" applyProtection="1">
      <alignment horizontal="justify" vertical="center" wrapText="1"/>
    </xf>
    <xf numFmtId="0" fontId="102" fillId="0" borderId="39" xfId="0" applyFont="1" applyFill="1" applyBorder="1" applyAlignment="1" applyProtection="1">
      <alignment horizontal="justify" vertical="center" wrapText="1"/>
    </xf>
    <xf numFmtId="0" fontId="102" fillId="73" borderId="34" xfId="0" applyFont="1" applyFill="1" applyBorder="1" applyAlignment="1" applyProtection="1">
      <alignment horizontal="justify" vertical="center" wrapText="1"/>
    </xf>
    <xf numFmtId="0" fontId="114" fillId="71" borderId="35" xfId="0" applyFont="1" applyFill="1" applyBorder="1" applyAlignment="1" applyProtection="1">
      <alignment horizontal="justify" vertical="center" wrapText="1"/>
    </xf>
    <xf numFmtId="0" fontId="114" fillId="71" borderId="39" xfId="0" applyFont="1" applyFill="1" applyBorder="1" applyAlignment="1" applyProtection="1">
      <alignment horizontal="justify" vertical="center" wrapText="1"/>
    </xf>
    <xf numFmtId="0" fontId="102" fillId="2" borderId="34" xfId="0" applyFont="1" applyFill="1" applyBorder="1" applyAlignment="1" applyProtection="1">
      <alignment horizontal="justify" vertical="center" wrapText="1"/>
    </xf>
    <xf numFmtId="0" fontId="114" fillId="71" borderId="35" xfId="0" applyFont="1" applyFill="1" applyBorder="1" applyAlignment="1" applyProtection="1">
      <alignment horizontal="center" vertical="center" wrapText="1"/>
    </xf>
    <xf numFmtId="0" fontId="114" fillId="71" borderId="39" xfId="0" applyFont="1" applyFill="1" applyBorder="1" applyAlignment="1" applyProtection="1">
      <alignment horizontal="center" vertical="center" wrapText="1"/>
    </xf>
    <xf numFmtId="0" fontId="114" fillId="0" borderId="44" xfId="0" applyFont="1" applyFill="1" applyBorder="1" applyAlignment="1" applyProtection="1">
      <alignment horizontal="justify" vertical="center" wrapText="1"/>
    </xf>
    <xf numFmtId="0" fontId="98" fillId="77" borderId="36" xfId="0" applyFont="1" applyFill="1" applyBorder="1" applyAlignment="1" applyProtection="1">
      <alignment horizontal="left" vertical="center" wrapText="1"/>
    </xf>
    <xf numFmtId="0" fontId="98" fillId="77" borderId="37" xfId="0" applyFont="1" applyFill="1" applyBorder="1" applyAlignment="1" applyProtection="1">
      <alignment horizontal="left" vertical="center" wrapText="1"/>
    </xf>
    <xf numFmtId="198" fontId="107" fillId="70" borderId="54" xfId="0" applyNumberFormat="1" applyFont="1" applyFill="1" applyBorder="1" applyAlignment="1" applyProtection="1">
      <alignment horizontal="center" vertical="center" wrapText="1"/>
      <protection locked="0"/>
    </xf>
    <xf numFmtId="198" fontId="107" fillId="70" borderId="55" xfId="0" applyNumberFormat="1" applyFont="1" applyFill="1" applyBorder="1" applyAlignment="1" applyProtection="1">
      <alignment horizontal="center" vertical="center" wrapText="1"/>
      <protection locked="0"/>
    </xf>
    <xf numFmtId="0" fontId="106" fillId="68" borderId="52" xfId="11" applyFont="1" applyFill="1" applyBorder="1" applyAlignment="1" applyProtection="1">
      <alignment horizontal="center" vertical="center" wrapText="1"/>
    </xf>
    <xf numFmtId="0" fontId="106" fillId="68" borderId="53" xfId="11" applyFont="1" applyFill="1" applyBorder="1" applyAlignment="1" applyProtection="1">
      <alignment horizontal="center" vertical="center" wrapText="1"/>
    </xf>
    <xf numFmtId="0" fontId="86" fillId="3" borderId="48" xfId="0" applyFont="1" applyFill="1" applyBorder="1" applyAlignment="1">
      <alignment horizontal="center"/>
    </xf>
    <xf numFmtId="0" fontId="86" fillId="3" borderId="49" xfId="0" applyFont="1" applyFill="1" applyBorder="1" applyAlignment="1">
      <alignment horizontal="center"/>
    </xf>
    <xf numFmtId="1" fontId="112" fillId="74" borderId="77" xfId="12" applyNumberFormat="1" applyFont="1" applyFill="1" applyBorder="1" applyAlignment="1" applyProtection="1">
      <alignment horizontal="center" vertical="top" wrapText="1"/>
    </xf>
    <xf numFmtId="1" fontId="112" fillId="74" borderId="61" xfId="12" applyNumberFormat="1" applyFont="1" applyFill="1" applyBorder="1" applyAlignment="1" applyProtection="1">
      <alignment horizontal="center" vertical="top" wrapText="1"/>
    </xf>
    <xf numFmtId="0" fontId="114" fillId="0" borderId="34" xfId="0" applyFont="1" applyFill="1" applyBorder="1" applyAlignment="1" applyProtection="1">
      <alignment horizontal="justify" vertical="center" wrapText="1"/>
      <protection locked="0"/>
    </xf>
    <xf numFmtId="0" fontId="9" fillId="0" borderId="44" xfId="0" applyFont="1" applyFill="1" applyBorder="1" applyAlignment="1" applyProtection="1">
      <alignment horizontal="center" vertical="center"/>
    </xf>
    <xf numFmtId="0" fontId="9" fillId="0" borderId="50" xfId="0" applyFont="1" applyFill="1" applyBorder="1" applyAlignment="1" applyProtection="1">
      <alignment horizontal="center" vertical="center"/>
    </xf>
    <xf numFmtId="0" fontId="94" fillId="72" borderId="68" xfId="0" applyFont="1" applyFill="1" applyBorder="1" applyAlignment="1" applyProtection="1">
      <alignment horizontal="center" vertical="center" wrapText="1"/>
    </xf>
    <xf numFmtId="0" fontId="94" fillId="72" borderId="69" xfId="0" applyFont="1" applyFill="1" applyBorder="1" applyAlignment="1" applyProtection="1">
      <alignment horizontal="center" vertical="center" wrapText="1"/>
    </xf>
    <xf numFmtId="0" fontId="94" fillId="72" borderId="71" xfId="0" applyFont="1" applyFill="1" applyBorder="1" applyAlignment="1" applyProtection="1">
      <alignment horizontal="center" vertical="center" wrapText="1"/>
    </xf>
    <xf numFmtId="0" fontId="94" fillId="72" borderId="72" xfId="0" applyFont="1" applyFill="1" applyBorder="1" applyAlignment="1" applyProtection="1">
      <alignment horizontal="center" vertical="center" wrapText="1"/>
    </xf>
    <xf numFmtId="198" fontId="110" fillId="70" borderId="58" xfId="0" applyNumberFormat="1" applyFont="1" applyFill="1" applyBorder="1" applyAlignment="1" applyProtection="1">
      <alignment horizontal="center" vertical="center" wrapText="1"/>
      <protection locked="0"/>
    </xf>
    <xf numFmtId="198" fontId="110" fillId="70" borderId="59" xfId="0" applyNumberFormat="1" applyFont="1" applyFill="1" applyBorder="1" applyAlignment="1" applyProtection="1">
      <alignment horizontal="center" vertical="center" wrapText="1"/>
      <protection locked="0"/>
    </xf>
    <xf numFmtId="0" fontId="95" fillId="72" borderId="56" xfId="0" applyFont="1" applyFill="1" applyBorder="1" applyAlignment="1" applyProtection="1">
      <alignment horizontal="center" vertical="center" wrapText="1"/>
    </xf>
    <xf numFmtId="0" fontId="95" fillId="72" borderId="57" xfId="0" applyFont="1" applyFill="1" applyBorder="1" applyAlignment="1" applyProtection="1">
      <alignment horizontal="center" vertical="center" wrapText="1"/>
    </xf>
    <xf numFmtId="0" fontId="85" fillId="77" borderId="45" xfId="0" applyFont="1" applyFill="1" applyBorder="1" applyAlignment="1" applyProtection="1">
      <alignment horizontal="center"/>
    </xf>
    <xf numFmtId="0" fontId="102" fillId="0" borderId="34" xfId="0" applyFont="1" applyFill="1" applyBorder="1" applyAlignment="1" applyProtection="1">
      <alignment horizontal="justify" vertical="center" wrapText="1"/>
    </xf>
    <xf numFmtId="0" fontId="104" fillId="73" borderId="35" xfId="12" applyFont="1" applyFill="1" applyBorder="1" applyAlignment="1">
      <alignment horizontal="center" vertical="center" wrapText="1"/>
    </xf>
    <xf numFmtId="0" fontId="104" fillId="73" borderId="39" xfId="12" applyFont="1" applyFill="1" applyBorder="1" applyAlignment="1">
      <alignment horizontal="center" vertical="center" wrapText="1"/>
    </xf>
    <xf numFmtId="0" fontId="91" fillId="0" borderId="78" xfId="0" applyFont="1" applyFill="1" applyBorder="1" applyAlignment="1">
      <alignment horizontal="left" wrapText="1"/>
    </xf>
    <xf numFmtId="0" fontId="88" fillId="0" borderId="95" xfId="0" applyFont="1" applyBorder="1" applyAlignment="1" applyProtection="1">
      <alignment horizontal="right" vertical="center" wrapText="1"/>
    </xf>
    <xf numFmtId="0" fontId="86" fillId="0" borderId="96" xfId="0" applyFont="1" applyBorder="1" applyAlignment="1" applyProtection="1">
      <alignment horizontal="right"/>
    </xf>
    <xf numFmtId="0" fontId="88" fillId="0" borderId="51" xfId="0" applyFont="1" applyBorder="1" applyAlignment="1" applyProtection="1">
      <alignment horizontal="right" wrapText="1"/>
    </xf>
    <xf numFmtId="0" fontId="91" fillId="0" borderId="81" xfId="0" applyFont="1" applyBorder="1" applyAlignment="1">
      <alignment horizontal="left" vertical="center" wrapText="1"/>
    </xf>
    <xf numFmtId="0" fontId="91" fillId="0" borderId="94" xfId="0" applyFont="1" applyBorder="1" applyAlignment="1">
      <alignment horizontal="left" vertical="center" wrapText="1"/>
    </xf>
    <xf numFmtId="0" fontId="121" fillId="0" borderId="0" xfId="0" applyFont="1" applyBorder="1" applyAlignment="1" applyProtection="1">
      <alignment horizontal="left" vertical="center"/>
    </xf>
    <xf numFmtId="0" fontId="87" fillId="0" borderId="0" xfId="0" applyFont="1" applyBorder="1" applyAlignment="1" applyProtection="1">
      <alignment horizontal="center" vertical="center"/>
    </xf>
    <xf numFmtId="0" fontId="102" fillId="71" borderId="87" xfId="0" applyFont="1" applyFill="1" applyBorder="1" applyAlignment="1" applyProtection="1">
      <alignment horizontal="justify" vertical="center" wrapText="1"/>
    </xf>
    <xf numFmtId="0" fontId="102" fillId="71" borderId="88" xfId="0" applyFont="1" applyFill="1" applyBorder="1" applyAlignment="1" applyProtection="1">
      <alignment horizontal="justify" vertical="center" wrapText="1"/>
    </xf>
    <xf numFmtId="0" fontId="102" fillId="71" borderId="89" xfId="0" applyFont="1" applyFill="1" applyBorder="1" applyAlignment="1" applyProtection="1">
      <alignment horizontal="justify" vertical="center" wrapText="1"/>
    </xf>
    <xf numFmtId="0" fontId="102" fillId="71" borderId="90" xfId="0" applyFont="1" applyFill="1" applyBorder="1" applyAlignment="1" applyProtection="1">
      <alignment horizontal="justify" vertical="center" wrapText="1"/>
    </xf>
    <xf numFmtId="0" fontId="102" fillId="71" borderId="91" xfId="0" applyFont="1" applyFill="1" applyBorder="1" applyAlignment="1" applyProtection="1">
      <alignment horizontal="justify" vertical="center" wrapText="1"/>
    </xf>
    <xf numFmtId="0" fontId="102" fillId="71" borderId="92" xfId="0" applyFont="1" applyFill="1" applyBorder="1" applyAlignment="1" applyProtection="1">
      <alignment horizontal="justify" vertical="center" wrapText="1"/>
    </xf>
    <xf numFmtId="0" fontId="102" fillId="0" borderId="83" xfId="0" applyFont="1" applyBorder="1" applyAlignment="1" applyProtection="1">
      <alignment horizontal="justify" vertical="center" wrapText="1"/>
    </xf>
    <xf numFmtId="0" fontId="102" fillId="0" borderId="84" xfId="0" applyFont="1" applyBorder="1" applyAlignment="1" applyProtection="1">
      <alignment horizontal="justify" vertical="center" wrapText="1"/>
    </xf>
    <xf numFmtId="0" fontId="133" fillId="0" borderId="62" xfId="814" applyFont="1" applyFill="1" applyBorder="1" applyAlignment="1" applyProtection="1">
      <alignment horizontal="center" vertical="center" wrapText="1"/>
    </xf>
    <xf numFmtId="0" fontId="133" fillId="0" borderId="67" xfId="814" applyFont="1" applyFill="1" applyBorder="1" applyAlignment="1" applyProtection="1">
      <alignment horizontal="center" vertical="center" wrapText="1"/>
    </xf>
    <xf numFmtId="0" fontId="108" fillId="0" borderId="0" xfId="814" applyFont="1" applyFill="1" applyBorder="1" applyAlignment="1" applyProtection="1">
      <alignment horizontal="center" vertical="center" wrapText="1"/>
    </xf>
    <xf numFmtId="0" fontId="89" fillId="0" borderId="40" xfId="0" applyFont="1" applyBorder="1" applyAlignment="1" applyProtection="1">
      <alignment horizontal="left" vertical="center"/>
    </xf>
    <xf numFmtId="0" fontId="89" fillId="0" borderId="0" xfId="0" applyFont="1" applyBorder="1" applyAlignment="1" applyProtection="1">
      <alignment horizontal="left" vertical="center"/>
    </xf>
    <xf numFmtId="0" fontId="89" fillId="0" borderId="66" xfId="0" applyFont="1" applyBorder="1" applyAlignment="1" applyProtection="1">
      <alignment horizontal="left" vertical="center"/>
    </xf>
    <xf numFmtId="0" fontId="89" fillId="0" borderId="36" xfId="0" applyFont="1" applyBorder="1" applyAlignment="1" applyProtection="1">
      <alignment horizontal="left" vertical="center"/>
    </xf>
    <xf numFmtId="0" fontId="89" fillId="0" borderId="37" xfId="0" applyFont="1" applyBorder="1" applyAlignment="1" applyProtection="1">
      <alignment horizontal="left" vertical="center"/>
    </xf>
    <xf numFmtId="0" fontId="89" fillId="0" borderId="38" xfId="0" applyFont="1" applyBorder="1" applyAlignment="1" applyProtection="1">
      <alignment horizontal="left" vertical="center"/>
    </xf>
    <xf numFmtId="0" fontId="96" fillId="0" borderId="42" xfId="0" applyFont="1" applyBorder="1" applyAlignment="1" applyProtection="1">
      <alignment horizontal="right" vertical="center" wrapText="1"/>
    </xf>
    <xf numFmtId="0" fontId="96" fillId="0" borderId="41" xfId="0" applyFont="1" applyBorder="1" applyAlignment="1" applyProtection="1">
      <alignment horizontal="right" vertical="center" wrapText="1"/>
    </xf>
    <xf numFmtId="0" fontId="96" fillId="0" borderId="43" xfId="0" applyFont="1" applyBorder="1" applyAlignment="1" applyProtection="1">
      <alignment horizontal="right" vertical="center" wrapText="1"/>
    </xf>
    <xf numFmtId="0" fontId="88" fillId="0" borderId="64" xfId="0" applyFont="1" applyBorder="1" applyAlignment="1">
      <alignment horizontal="right" vertical="center"/>
    </xf>
    <xf numFmtId="0" fontId="88" fillId="0" borderId="65" xfId="0" applyFont="1" applyBorder="1" applyAlignment="1">
      <alignment horizontal="right" vertical="center"/>
    </xf>
    <xf numFmtId="0" fontId="100" fillId="0" borderId="81" xfId="0" applyFont="1" applyBorder="1" applyAlignment="1">
      <alignment horizontal="center" vertical="center"/>
    </xf>
    <xf numFmtId="0" fontId="100" fillId="0" borderId="94" xfId="0" applyFont="1" applyBorder="1" applyAlignment="1">
      <alignment horizontal="center" vertical="center"/>
    </xf>
    <xf numFmtId="0" fontId="135" fillId="73" borderId="35" xfId="12" applyFont="1" applyFill="1" applyBorder="1" applyAlignment="1">
      <alignment horizontal="left" vertical="center" wrapText="1"/>
    </xf>
    <xf numFmtId="0" fontId="135" fillId="73" borderId="39" xfId="12" applyFont="1" applyFill="1" applyBorder="1" applyAlignment="1">
      <alignment horizontal="left" vertical="center" wrapText="1"/>
    </xf>
    <xf numFmtId="0" fontId="91" fillId="0" borderId="78" xfId="0" applyFont="1" applyBorder="1" applyAlignment="1">
      <alignment horizontal="left" vertical="center" wrapText="1"/>
    </xf>
    <xf numFmtId="0" fontId="93" fillId="71" borderId="93" xfId="0" applyFont="1" applyFill="1" applyBorder="1" applyAlignment="1" applyProtection="1">
      <alignment horizontal="right" vertical="center" wrapText="1"/>
    </xf>
    <xf numFmtId="0" fontId="125" fillId="71" borderId="93" xfId="0" applyFont="1" applyFill="1" applyBorder="1" applyAlignment="1" applyProtection="1">
      <alignment horizontal="justify" vertical="center" wrapText="1"/>
    </xf>
    <xf numFmtId="0" fontId="111" fillId="0" borderId="83" xfId="7" applyFont="1" applyBorder="1" applyAlignment="1" applyProtection="1">
      <alignment horizontal="justify" vertical="center" wrapText="1"/>
    </xf>
    <xf numFmtId="0" fontId="111" fillId="0" borderId="84" xfId="7" applyFont="1" applyBorder="1" applyAlignment="1" applyProtection="1">
      <alignment horizontal="justify" vertical="center" wrapText="1"/>
    </xf>
    <xf numFmtId="0" fontId="111" fillId="0" borderId="83" xfId="7" applyFont="1" applyFill="1" applyBorder="1" applyAlignment="1" applyProtection="1">
      <alignment horizontal="justify" vertical="center" wrapText="1"/>
    </xf>
    <xf numFmtId="0" fontId="111" fillId="0" borderId="84" xfId="7" applyFont="1" applyFill="1" applyBorder="1" applyAlignment="1" applyProtection="1">
      <alignment horizontal="justify" vertical="center" wrapText="1"/>
    </xf>
    <xf numFmtId="0" fontId="114" fillId="0" borderId="83" xfId="0" applyFont="1" applyBorder="1" applyAlignment="1">
      <alignment horizontal="justify" vertical="center" wrapText="1"/>
    </xf>
    <xf numFmtId="0" fontId="114" fillId="0" borderId="84" xfId="0" applyFont="1" applyBorder="1" applyAlignment="1">
      <alignment horizontal="justify" vertical="center"/>
    </xf>
    <xf numFmtId="0" fontId="111" fillId="73" borderId="35" xfId="0" applyFont="1" applyFill="1" applyBorder="1" applyAlignment="1" applyProtection="1">
      <alignment horizontal="justify" vertical="center" wrapText="1"/>
    </xf>
    <xf numFmtId="0" fontId="111" fillId="73" borderId="39" xfId="0" applyFont="1" applyFill="1" applyBorder="1" applyAlignment="1" applyProtection="1">
      <alignment horizontal="justify" vertical="center" wrapText="1"/>
    </xf>
    <xf numFmtId="0" fontId="111" fillId="0" borderId="82" xfId="7" applyFont="1" applyBorder="1" applyAlignment="1" applyProtection="1">
      <alignment horizontal="justify" vertical="center" wrapText="1"/>
    </xf>
    <xf numFmtId="198" fontId="94" fillId="70" borderId="76" xfId="12" applyNumberFormat="1" applyFont="1" applyFill="1" applyBorder="1" applyAlignment="1" applyProtection="1">
      <alignment horizontal="center" vertical="center" wrapText="1"/>
      <protection locked="0"/>
    </xf>
    <xf numFmtId="198" fontId="94" fillId="70" borderId="60" xfId="12" applyNumberFormat="1" applyFont="1" applyFill="1" applyBorder="1" applyAlignment="1" applyProtection="1">
      <alignment horizontal="center" vertical="center" wrapText="1"/>
      <protection locked="0"/>
    </xf>
    <xf numFmtId="0" fontId="111" fillId="0" borderId="35" xfId="12" applyFont="1" applyFill="1" applyBorder="1" applyAlignment="1">
      <alignment horizontal="justify" vertical="center" wrapText="1"/>
    </xf>
    <xf numFmtId="0" fontId="111" fillId="0" borderId="39" xfId="12" applyFont="1" applyFill="1" applyBorder="1" applyAlignment="1">
      <alignment horizontal="justify" vertical="center" wrapText="1"/>
    </xf>
    <xf numFmtId="0" fontId="111" fillId="0" borderId="34" xfId="12" applyFont="1" applyFill="1" applyBorder="1" applyAlignment="1">
      <alignment horizontal="justify" vertical="center" wrapText="1"/>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B67CC2"/>
      <color rgb="FFE4ECF4"/>
      <color rgb="FFEBF6F9"/>
      <color rgb="FFD9BBDF"/>
      <color rgb="FF006600"/>
      <color rgb="FFB8CCE4"/>
      <color rgb="FF8C4799"/>
      <color rgb="FFEBFFEB"/>
      <color rgb="FFFFF2C9"/>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AA196"/>
  <sheetViews>
    <sheetView tabSelected="1" topLeftCell="A116" zoomScale="80" zoomScaleNormal="80" workbookViewId="0">
      <selection activeCell="E52" sqref="E52:F52"/>
    </sheetView>
  </sheetViews>
  <sheetFormatPr defaultColWidth="9.140625" defaultRowHeight="18.75"/>
  <cols>
    <col min="1" max="1" width="5" style="5" customWidth="1"/>
    <col min="2" max="2" width="8.140625" style="34" customWidth="1"/>
    <col min="3" max="3" width="51" style="39"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customWidth="1"/>
    <col min="10" max="10" width="10.28515625" style="2" customWidth="1"/>
    <col min="11" max="11" width="13.7109375" style="3" customWidth="1"/>
    <col min="12" max="12" width="17.42578125" style="3" customWidth="1"/>
    <col min="13" max="13" width="16.140625" style="3" customWidth="1"/>
    <col min="14" max="14" width="9.140625" style="4" customWidth="1"/>
    <col min="15" max="15" width="9.140625" style="2" customWidth="1"/>
    <col min="16" max="16" width="9.5703125" style="1" customWidth="1"/>
    <col min="17" max="17" width="16.42578125" style="1" customWidth="1"/>
    <col min="18" max="18" width="12.28515625" style="165" customWidth="1"/>
    <col min="19" max="19" width="14.42578125" style="166" customWidth="1"/>
    <col min="20" max="20" width="9.140625" style="1" customWidth="1"/>
    <col min="21" max="21" width="9.140625" style="2"/>
    <col min="22" max="22" width="17.28515625" style="167" customWidth="1"/>
    <col min="23" max="23" width="14.28515625" style="167" customWidth="1"/>
    <col min="24" max="16384" width="9.140625" style="1"/>
  </cols>
  <sheetData>
    <row r="1" spans="1:26">
      <c r="E1" s="289" t="s">
        <v>259</v>
      </c>
      <c r="F1" s="289"/>
      <c r="G1" s="289"/>
      <c r="H1" s="289"/>
      <c r="I1"/>
      <c r="K1"/>
      <c r="L1"/>
      <c r="M1"/>
      <c r="N1"/>
      <c r="O1"/>
      <c r="P1"/>
      <c r="Q1"/>
      <c r="R1"/>
      <c r="S1"/>
      <c r="T1"/>
      <c r="U1"/>
      <c r="V1"/>
      <c r="W1"/>
      <c r="X1"/>
      <c r="Y1"/>
      <c r="Z1"/>
    </row>
    <row r="2" spans="1:26" ht="12.75" customHeight="1">
      <c r="A2" s="160"/>
      <c r="B2" s="161"/>
      <c r="C2" s="161"/>
      <c r="D2" s="161"/>
      <c r="E2" s="290"/>
      <c r="F2" s="290"/>
      <c r="G2" s="290"/>
      <c r="H2" s="290"/>
      <c r="I2"/>
      <c r="K2"/>
      <c r="L2"/>
      <c r="M2"/>
      <c r="N2"/>
      <c r="O2"/>
      <c r="P2"/>
      <c r="Q2"/>
      <c r="R2"/>
      <c r="S2"/>
      <c r="T2"/>
      <c r="U2"/>
      <c r="V2"/>
      <c r="W2"/>
      <c r="X2"/>
      <c r="Y2"/>
      <c r="Z2"/>
    </row>
    <row r="3" spans="1:26" ht="12.75" customHeight="1">
      <c r="A3" s="294" t="s">
        <v>41</v>
      </c>
      <c r="B3" s="294"/>
      <c r="C3" s="294"/>
      <c r="D3" s="295"/>
      <c r="E3" s="162"/>
      <c r="F3" s="291"/>
      <c r="G3" s="291"/>
      <c r="H3" s="291"/>
      <c r="I3"/>
      <c r="K3"/>
      <c r="L3"/>
      <c r="M3"/>
      <c r="N3"/>
      <c r="O3"/>
      <c r="P3"/>
      <c r="Q3"/>
      <c r="R3"/>
      <c r="S3"/>
      <c r="T3"/>
      <c r="U3"/>
      <c r="V3"/>
      <c r="W3"/>
      <c r="X3"/>
      <c r="Y3"/>
      <c r="Z3"/>
    </row>
    <row r="4" spans="1:26" ht="11.25" customHeight="1">
      <c r="A4" s="294"/>
      <c r="B4" s="294"/>
      <c r="C4" s="294"/>
      <c r="D4" s="295"/>
      <c r="E4" s="313"/>
      <c r="F4" s="314"/>
      <c r="G4" s="314"/>
      <c r="H4" s="315"/>
      <c r="I4"/>
      <c r="K4"/>
      <c r="L4"/>
      <c r="M4"/>
      <c r="N4"/>
      <c r="O4"/>
      <c r="P4"/>
      <c r="Q4"/>
      <c r="R4"/>
      <c r="S4"/>
      <c r="T4"/>
      <c r="U4"/>
      <c r="V4"/>
      <c r="W4"/>
      <c r="X4"/>
      <c r="Y4"/>
      <c r="Z4"/>
    </row>
    <row r="5" spans="1:26" ht="7.5" customHeight="1" thickBot="1">
      <c r="A5" s="294"/>
      <c r="B5" s="294"/>
      <c r="C5" s="294"/>
      <c r="D5" s="295"/>
      <c r="E5" s="20"/>
      <c r="F5" s="316"/>
      <c r="G5" s="316"/>
      <c r="H5" s="317"/>
      <c r="I5"/>
      <c r="K5"/>
      <c r="L5"/>
      <c r="M5"/>
      <c r="N5"/>
      <c r="O5"/>
      <c r="P5"/>
      <c r="Q5"/>
      <c r="R5"/>
      <c r="S5"/>
      <c r="T5"/>
      <c r="U5"/>
      <c r="V5"/>
      <c r="W5"/>
      <c r="X5"/>
      <c r="Y5"/>
      <c r="Z5"/>
    </row>
    <row r="6" spans="1:26" ht="26.25" customHeight="1" thickTop="1" thickBot="1">
      <c r="A6" s="304"/>
      <c r="B6" s="305"/>
      <c r="C6" s="306" t="s">
        <v>258</v>
      </c>
      <c r="D6" s="306"/>
      <c r="E6" s="306"/>
      <c r="F6" s="306"/>
      <c r="G6" s="306"/>
      <c r="H6" s="306"/>
      <c r="I6"/>
      <c r="K6"/>
      <c r="L6"/>
      <c r="M6"/>
      <c r="N6"/>
      <c r="O6"/>
      <c r="P6"/>
      <c r="Q6"/>
      <c r="R6"/>
      <c r="S6"/>
      <c r="T6"/>
      <c r="U6"/>
      <c r="V6"/>
      <c r="W6"/>
      <c r="X6"/>
      <c r="Y6"/>
      <c r="Z6"/>
    </row>
    <row r="7" spans="1:26" ht="10.5" customHeight="1" thickTop="1">
      <c r="A7" s="307" t="s">
        <v>102</v>
      </c>
      <c r="B7" s="308"/>
      <c r="C7" s="308"/>
      <c r="D7" s="308"/>
      <c r="E7" s="308"/>
      <c r="F7" s="308"/>
      <c r="G7" s="308"/>
      <c r="H7" s="309"/>
      <c r="I7"/>
      <c r="K7"/>
      <c r="L7"/>
      <c r="M7"/>
      <c r="N7"/>
      <c r="O7"/>
      <c r="P7"/>
      <c r="Q7"/>
      <c r="R7"/>
      <c r="S7"/>
      <c r="T7"/>
      <c r="U7"/>
      <c r="V7"/>
      <c r="W7"/>
      <c r="X7"/>
      <c r="Y7"/>
      <c r="Z7"/>
    </row>
    <row r="8" spans="1:26" ht="6" customHeight="1">
      <c r="A8" s="310"/>
      <c r="B8" s="311"/>
      <c r="C8" s="311"/>
      <c r="D8" s="311"/>
      <c r="E8" s="311"/>
      <c r="F8" s="311"/>
      <c r="G8" s="311"/>
      <c r="H8" s="312"/>
      <c r="I8"/>
      <c r="K8"/>
      <c r="L8"/>
      <c r="M8"/>
      <c r="N8"/>
      <c r="O8"/>
      <c r="P8"/>
      <c r="Q8"/>
      <c r="R8"/>
      <c r="S8"/>
      <c r="T8"/>
      <c r="U8"/>
      <c r="V8"/>
      <c r="W8"/>
      <c r="X8"/>
      <c r="Y8"/>
      <c r="Z8"/>
    </row>
    <row r="9" spans="1:26" ht="39.75" customHeight="1">
      <c r="A9" s="269"/>
      <c r="B9" s="215" t="s">
        <v>129</v>
      </c>
      <c r="C9" s="217" t="s">
        <v>0</v>
      </c>
      <c r="D9" s="219" t="s">
        <v>1</v>
      </c>
      <c r="E9" s="221" t="s">
        <v>2</v>
      </c>
      <c r="F9" s="223" t="s">
        <v>3</v>
      </c>
      <c r="G9" s="223"/>
      <c r="H9" s="224"/>
      <c r="I9"/>
      <c r="K9"/>
      <c r="L9"/>
      <c r="M9"/>
      <c r="N9"/>
      <c r="O9"/>
      <c r="P9"/>
      <c r="Q9"/>
      <c r="R9"/>
      <c r="S9"/>
      <c r="T9"/>
      <c r="U9"/>
      <c r="V9"/>
      <c r="W9"/>
      <c r="X9"/>
      <c r="Y9"/>
      <c r="Z9"/>
    </row>
    <row r="10" spans="1:26" ht="32.25" customHeight="1" thickBot="1">
      <c r="A10" s="270"/>
      <c r="B10" s="216"/>
      <c r="C10" s="218"/>
      <c r="D10" s="220"/>
      <c r="E10" s="222"/>
      <c r="F10" s="225" t="s">
        <v>27</v>
      </c>
      <c r="G10" s="225"/>
      <c r="H10" s="18" t="s">
        <v>75</v>
      </c>
      <c r="I10"/>
      <c r="K10"/>
      <c r="L10"/>
      <c r="M10"/>
      <c r="N10"/>
      <c r="O10"/>
      <c r="P10"/>
      <c r="Q10"/>
      <c r="R10"/>
      <c r="S10"/>
      <c r="T10"/>
      <c r="U10"/>
      <c r="V10"/>
      <c r="W10"/>
      <c r="X10"/>
      <c r="Y10"/>
      <c r="Z10"/>
    </row>
    <row r="11" spans="1:26" ht="26.25" customHeight="1" thickTop="1" thickBot="1">
      <c r="A11" s="228" t="s">
        <v>89</v>
      </c>
      <c r="B11" s="229"/>
      <c r="C11" s="229"/>
      <c r="D11" s="229"/>
      <c r="E11" s="229"/>
      <c r="F11" s="229"/>
      <c r="G11" s="267" t="s">
        <v>99</v>
      </c>
      <c r="H11" s="268"/>
      <c r="I11"/>
      <c r="K11"/>
      <c r="L11"/>
      <c r="M11"/>
      <c r="N11"/>
      <c r="O11"/>
      <c r="P11"/>
      <c r="Q11"/>
      <c r="R11"/>
      <c r="S11"/>
      <c r="T11"/>
      <c r="U11"/>
      <c r="V11"/>
      <c r="W11"/>
      <c r="X11"/>
      <c r="Y11"/>
      <c r="Z11"/>
    </row>
    <row r="12" spans="1:26" ht="17.25" customHeight="1" thickTop="1" thickBot="1">
      <c r="A12" s="284"/>
      <c r="B12" s="263" t="s">
        <v>32</v>
      </c>
      <c r="C12" s="264"/>
      <c r="D12" s="264"/>
      <c r="E12" s="264"/>
      <c r="F12" s="264"/>
      <c r="G12" s="265">
        <v>1</v>
      </c>
      <c r="H12" s="266"/>
      <c r="I12"/>
      <c r="K12"/>
      <c r="L12"/>
      <c r="M12"/>
      <c r="N12"/>
      <c r="O12"/>
      <c r="P12"/>
      <c r="Q12"/>
      <c r="R12"/>
      <c r="S12"/>
      <c r="T12"/>
      <c r="U12"/>
      <c r="V12"/>
      <c r="W12"/>
      <c r="X12"/>
      <c r="Y12"/>
      <c r="Z12"/>
    </row>
    <row r="13" spans="1:26" ht="199.15" customHeight="1" thickTop="1">
      <c r="A13" s="284"/>
      <c r="B13" s="71">
        <v>200</v>
      </c>
      <c r="C13" s="72" t="s">
        <v>249</v>
      </c>
      <c r="D13" s="48"/>
      <c r="E13" s="198" t="s">
        <v>197</v>
      </c>
      <c r="F13" s="198"/>
      <c r="G13" s="121"/>
      <c r="H13" s="121"/>
      <c r="I13"/>
      <c r="K13"/>
      <c r="L13"/>
      <c r="M13"/>
      <c r="N13"/>
      <c r="O13"/>
      <c r="P13"/>
      <c r="Q13"/>
      <c r="R13"/>
      <c r="S13"/>
      <c r="T13"/>
      <c r="U13"/>
      <c r="V13"/>
      <c r="W13"/>
      <c r="X13"/>
      <c r="Y13"/>
      <c r="Z13"/>
    </row>
    <row r="14" spans="1:26" ht="22.5">
      <c r="A14" s="284"/>
      <c r="B14" s="150" t="s">
        <v>46</v>
      </c>
      <c r="C14" s="122" t="s">
        <v>198</v>
      </c>
      <c r="D14" s="155" t="s">
        <v>8</v>
      </c>
      <c r="E14" s="234"/>
      <c r="F14" s="234"/>
      <c r="G14" s="124">
        <f>G12*143788.7844896</f>
        <v>143788.78448959999</v>
      </c>
      <c r="H14" s="124">
        <f>G12*15816.766293856</f>
        <v>15816.766293856001</v>
      </c>
      <c r="I14"/>
      <c r="K14"/>
      <c r="L14"/>
      <c r="M14"/>
      <c r="N14"/>
      <c r="O14"/>
      <c r="P14"/>
      <c r="Q14"/>
      <c r="R14"/>
      <c r="S14"/>
      <c r="T14"/>
      <c r="U14"/>
      <c r="V14"/>
      <c r="W14"/>
      <c r="X14"/>
      <c r="Y14"/>
      <c r="Z14"/>
    </row>
    <row r="15" spans="1:26" ht="22.5">
      <c r="A15" s="284"/>
      <c r="B15" s="150" t="s">
        <v>47</v>
      </c>
      <c r="C15" s="122" t="s">
        <v>218</v>
      </c>
      <c r="D15" s="155" t="s">
        <v>8</v>
      </c>
      <c r="E15" s="234"/>
      <c r="F15" s="234"/>
      <c r="G15" s="124">
        <f>G12*146310.62269584</f>
        <v>146310.62269583999</v>
      </c>
      <c r="H15" s="124">
        <f>G12*16094.1684965424</f>
        <v>16094.168496542399</v>
      </c>
      <c r="I15"/>
      <c r="K15"/>
      <c r="L15"/>
      <c r="M15"/>
      <c r="N15"/>
      <c r="O15"/>
      <c r="P15"/>
      <c r="Q15"/>
      <c r="R15"/>
      <c r="S15"/>
      <c r="T15"/>
      <c r="U15"/>
      <c r="V15"/>
      <c r="W15"/>
      <c r="X15"/>
      <c r="Y15"/>
      <c r="Z15"/>
    </row>
    <row r="16" spans="1:26" ht="22.5">
      <c r="A16" s="284"/>
      <c r="B16" s="150" t="s">
        <v>107</v>
      </c>
      <c r="C16" s="122" t="s">
        <v>219</v>
      </c>
      <c r="D16" s="155" t="s">
        <v>8</v>
      </c>
      <c r="E16" s="234"/>
      <c r="F16" s="234"/>
      <c r="G16" s="124">
        <f>G12*166945.47025872</f>
        <v>166945.47025871999</v>
      </c>
      <c r="H16" s="124">
        <f>G12*18364.0017284592</f>
        <v>18364.0017284592</v>
      </c>
      <c r="I16"/>
      <c r="K16"/>
      <c r="L16"/>
      <c r="M16"/>
      <c r="N16"/>
      <c r="O16"/>
      <c r="P16"/>
      <c r="Q16"/>
      <c r="R16"/>
      <c r="S16"/>
      <c r="T16"/>
      <c r="U16"/>
      <c r="V16"/>
      <c r="W16"/>
      <c r="X16"/>
      <c r="Y16"/>
      <c r="Z16"/>
    </row>
    <row r="17" spans="1:26" ht="22.5">
      <c r="A17" s="284"/>
      <c r="B17" s="150" t="s">
        <v>48</v>
      </c>
      <c r="C17" s="122" t="s">
        <v>199</v>
      </c>
      <c r="D17" s="155" t="s">
        <v>8</v>
      </c>
      <c r="E17" s="234"/>
      <c r="F17" s="234"/>
      <c r="G17" s="124">
        <f>G12*199695.35492144</f>
        <v>199695.35492144001</v>
      </c>
      <c r="H17" s="124">
        <f>G12*21966.4890413584</f>
        <v>21966.4890413584</v>
      </c>
      <c r="I17"/>
      <c r="K17"/>
      <c r="L17"/>
      <c r="M17"/>
      <c r="N17"/>
      <c r="O17"/>
      <c r="P17"/>
      <c r="Q17"/>
      <c r="R17"/>
      <c r="S17"/>
      <c r="T17"/>
      <c r="U17"/>
      <c r="V17"/>
      <c r="W17"/>
      <c r="X17"/>
      <c r="Y17"/>
      <c r="Z17"/>
    </row>
    <row r="18" spans="1:26" ht="205.9" customHeight="1">
      <c r="A18" s="284"/>
      <c r="B18" s="71">
        <v>201</v>
      </c>
      <c r="C18" s="41" t="s">
        <v>250</v>
      </c>
      <c r="D18" s="48"/>
      <c r="E18" s="285" t="s">
        <v>200</v>
      </c>
      <c r="F18" s="285"/>
      <c r="G18" s="125"/>
      <c r="H18" s="125"/>
      <c r="I18"/>
      <c r="K18"/>
      <c r="L18"/>
      <c r="M18"/>
      <c r="N18"/>
      <c r="O18"/>
      <c r="P18"/>
      <c r="Q18"/>
      <c r="R18"/>
      <c r="S18"/>
      <c r="T18"/>
      <c r="U18"/>
      <c r="V18"/>
      <c r="W18"/>
      <c r="X18"/>
      <c r="Y18"/>
      <c r="Z18"/>
    </row>
    <row r="19" spans="1:26" ht="22.5">
      <c r="A19" s="284"/>
      <c r="B19" s="150" t="s">
        <v>49</v>
      </c>
      <c r="C19" s="122" t="s">
        <v>198</v>
      </c>
      <c r="D19" s="155" t="s">
        <v>8</v>
      </c>
      <c r="E19" s="234"/>
      <c r="F19" s="234"/>
      <c r="G19" s="124">
        <f>G12*210875.101504</f>
        <v>210875.10150399999</v>
      </c>
      <c r="H19" s="124">
        <f>G12*23196.25968</f>
        <v>23196.259679999999</v>
      </c>
      <c r="I19"/>
      <c r="K19"/>
      <c r="L19"/>
      <c r="M19"/>
      <c r="N19"/>
      <c r="O19"/>
      <c r="P19"/>
      <c r="Q19"/>
      <c r="R19"/>
      <c r="S19"/>
      <c r="T19"/>
      <c r="U19"/>
      <c r="V19"/>
      <c r="W19"/>
      <c r="X19"/>
      <c r="Y19"/>
      <c r="Z19"/>
    </row>
    <row r="20" spans="1:26" ht="22.5">
      <c r="A20" s="284"/>
      <c r="B20" s="150" t="s">
        <v>50</v>
      </c>
      <c r="C20" s="122" t="s">
        <v>220</v>
      </c>
      <c r="D20" s="155" t="s">
        <v>8</v>
      </c>
      <c r="E20" s="234"/>
      <c r="F20" s="234"/>
      <c r="G20" s="124">
        <f>G12*214401.583328</f>
        <v>214401.58332800001</v>
      </c>
      <c r="H20" s="124">
        <f>G12*23584.175584</f>
        <v>23584.175584000001</v>
      </c>
      <c r="I20"/>
      <c r="K20"/>
      <c r="L20"/>
      <c r="M20"/>
      <c r="N20"/>
      <c r="O20"/>
      <c r="P20"/>
      <c r="Q20"/>
      <c r="R20"/>
      <c r="S20"/>
      <c r="T20"/>
      <c r="U20"/>
      <c r="V20"/>
      <c r="W20"/>
      <c r="X20"/>
      <c r="Y20"/>
      <c r="Z20"/>
    </row>
    <row r="21" spans="1:26" ht="22.5">
      <c r="A21" s="284"/>
      <c r="B21" s="150" t="s">
        <v>51</v>
      </c>
      <c r="C21" s="122" t="s">
        <v>221</v>
      </c>
      <c r="D21" s="155" t="s">
        <v>8</v>
      </c>
      <c r="E21" s="234"/>
      <c r="F21" s="234"/>
      <c r="G21" s="124">
        <f>G12*241753.854304</f>
        <v>241753.85430400001</v>
      </c>
      <c r="H21" s="124">
        <f>G12*26592.9208</f>
        <v>26592.9208</v>
      </c>
      <c r="I21"/>
      <c r="K21"/>
      <c r="L21"/>
      <c r="M21"/>
      <c r="N21"/>
      <c r="O21"/>
      <c r="P21"/>
      <c r="Q21"/>
      <c r="R21"/>
      <c r="S21"/>
      <c r="T21"/>
      <c r="U21"/>
      <c r="V21"/>
      <c r="W21"/>
      <c r="X21"/>
      <c r="Y21"/>
      <c r="Z21"/>
    </row>
    <row r="22" spans="1:26" ht="22.5">
      <c r="A22" s="284"/>
      <c r="B22" s="150" t="s">
        <v>52</v>
      </c>
      <c r="C22" s="122" t="s">
        <v>199</v>
      </c>
      <c r="D22" s="155" t="s">
        <v>8</v>
      </c>
      <c r="E22" s="234"/>
      <c r="F22" s="234"/>
      <c r="G22" s="124">
        <f>G12*275952.639776</f>
        <v>275952.639776</v>
      </c>
      <c r="H22" s="124">
        <f>G12*30354.790848</f>
        <v>30354.790848000001</v>
      </c>
      <c r="I22"/>
      <c r="K22"/>
      <c r="L22"/>
      <c r="M22"/>
      <c r="N22"/>
      <c r="O22"/>
      <c r="P22"/>
      <c r="Q22"/>
      <c r="R22"/>
      <c r="S22"/>
      <c r="T22"/>
      <c r="U22"/>
      <c r="V22"/>
      <c r="W22"/>
      <c r="X22"/>
      <c r="Y22"/>
      <c r="Z22"/>
    </row>
    <row r="23" spans="1:26" ht="197.45" customHeight="1">
      <c r="A23" s="284"/>
      <c r="B23" s="71">
        <v>202</v>
      </c>
      <c r="C23" s="41" t="s">
        <v>251</v>
      </c>
      <c r="D23" s="48"/>
      <c r="E23" s="198" t="s">
        <v>257</v>
      </c>
      <c r="F23" s="198"/>
      <c r="G23" s="125"/>
      <c r="H23" s="125"/>
      <c r="I23"/>
      <c r="K23"/>
      <c r="L23"/>
      <c r="M23"/>
      <c r="N23"/>
      <c r="O23"/>
      <c r="P23"/>
      <c r="Q23"/>
      <c r="R23"/>
      <c r="S23"/>
      <c r="T23"/>
      <c r="U23"/>
      <c r="V23"/>
      <c r="W23"/>
      <c r="X23"/>
      <c r="Y23"/>
      <c r="Z23"/>
    </row>
    <row r="24" spans="1:26" ht="22.5">
      <c r="A24" s="284"/>
      <c r="B24" s="150" t="s">
        <v>53</v>
      </c>
      <c r="C24" s="122" t="s">
        <v>201</v>
      </c>
      <c r="D24" s="155" t="s">
        <v>8</v>
      </c>
      <c r="E24" s="234"/>
      <c r="F24" s="234"/>
      <c r="G24" s="124">
        <f>G12*143981.086176</f>
        <v>143981.08617600001</v>
      </c>
      <c r="H24" s="124">
        <f>G12*15837.916576</f>
        <v>15837.916576</v>
      </c>
      <c r="I24"/>
      <c r="K24"/>
      <c r="L24"/>
      <c r="M24"/>
      <c r="N24"/>
      <c r="O24"/>
      <c r="P24"/>
      <c r="Q24"/>
      <c r="R24"/>
      <c r="S24"/>
      <c r="T24"/>
      <c r="U24"/>
      <c r="V24"/>
      <c r="W24"/>
      <c r="X24"/>
      <c r="Y24"/>
      <c r="Z24"/>
    </row>
    <row r="25" spans="1:26" ht="22.5">
      <c r="A25" s="284"/>
      <c r="B25" s="150" t="s">
        <v>54</v>
      </c>
      <c r="C25" s="122" t="s">
        <v>222</v>
      </c>
      <c r="D25" s="155" t="s">
        <v>8</v>
      </c>
      <c r="E25" s="234"/>
      <c r="F25" s="234"/>
      <c r="G25" s="124">
        <f>G12*146345.61632</f>
        <v>146345.61632</v>
      </c>
      <c r="H25" s="124">
        <f>G12*16098.01712</f>
        <v>16098.01712</v>
      </c>
      <c r="I25"/>
      <c r="K25"/>
      <c r="L25"/>
      <c r="M25"/>
      <c r="N25"/>
      <c r="O25"/>
      <c r="P25"/>
      <c r="Q25"/>
      <c r="R25"/>
      <c r="S25"/>
      <c r="T25"/>
      <c r="U25"/>
      <c r="V25"/>
      <c r="W25"/>
      <c r="X25"/>
      <c r="Y25"/>
      <c r="Z25"/>
    </row>
    <row r="26" spans="1:26" ht="22.5">
      <c r="A26" s="284"/>
      <c r="B26" s="150" t="s">
        <v>55</v>
      </c>
      <c r="C26" s="122" t="s">
        <v>221</v>
      </c>
      <c r="D26" s="155" t="s">
        <v>8</v>
      </c>
      <c r="E26" s="234"/>
      <c r="F26" s="234"/>
      <c r="G26" s="124">
        <f>G12*169781.47072</f>
        <v>169781.47072000001</v>
      </c>
      <c r="H26" s="124">
        <f>G12*18675.96448</f>
        <v>18675.964479999999</v>
      </c>
      <c r="I26"/>
      <c r="K26"/>
      <c r="L26"/>
      <c r="M26"/>
      <c r="N26"/>
      <c r="O26"/>
      <c r="P26"/>
      <c r="Q26"/>
      <c r="R26"/>
      <c r="S26"/>
      <c r="T26"/>
      <c r="U26"/>
      <c r="V26"/>
      <c r="W26"/>
      <c r="X26"/>
      <c r="Y26"/>
      <c r="Z26"/>
    </row>
    <row r="27" spans="1:26" ht="22.5">
      <c r="A27" s="284"/>
      <c r="B27" s="150" t="s">
        <v>56</v>
      </c>
      <c r="C27" s="122" t="s">
        <v>199</v>
      </c>
      <c r="D27" s="155" t="s">
        <v>8</v>
      </c>
      <c r="E27" s="234"/>
      <c r="F27" s="234"/>
      <c r="G27" s="124">
        <f>G12*201912.422432</f>
        <v>201912.42243199999</v>
      </c>
      <c r="H27" s="124">
        <f>G12*22210.3664</f>
        <v>22210.366399999999</v>
      </c>
      <c r="I27"/>
      <c r="K27"/>
      <c r="L27"/>
      <c r="M27"/>
      <c r="N27"/>
      <c r="O27"/>
      <c r="P27"/>
      <c r="Q27"/>
      <c r="R27"/>
      <c r="S27"/>
      <c r="T27"/>
      <c r="U27"/>
      <c r="V27"/>
      <c r="W27"/>
      <c r="X27"/>
      <c r="Y27"/>
      <c r="Z27"/>
    </row>
    <row r="28" spans="1:26" ht="246.6" customHeight="1">
      <c r="A28" s="284"/>
      <c r="B28" s="71">
        <v>203</v>
      </c>
      <c r="C28" s="41" t="s">
        <v>252</v>
      </c>
      <c r="D28" s="48"/>
      <c r="E28" s="226" t="s">
        <v>254</v>
      </c>
      <c r="F28" s="226"/>
      <c r="G28" s="125"/>
      <c r="H28" s="125"/>
      <c r="I28"/>
      <c r="K28"/>
      <c r="L28"/>
      <c r="M28"/>
      <c r="N28"/>
      <c r="O28"/>
      <c r="P28"/>
      <c r="Q28"/>
      <c r="R28"/>
      <c r="S28"/>
      <c r="T28"/>
      <c r="U28"/>
      <c r="V28"/>
      <c r="W28"/>
      <c r="X28"/>
      <c r="Y28"/>
      <c r="Z28"/>
    </row>
    <row r="29" spans="1:26" ht="22.5">
      <c r="A29" s="284"/>
      <c r="B29" s="150" t="s">
        <v>57</v>
      </c>
      <c r="C29" s="122" t="s">
        <v>202</v>
      </c>
      <c r="D29" s="155" t="s">
        <v>8</v>
      </c>
      <c r="E29" s="234"/>
      <c r="F29" s="234"/>
      <c r="G29" s="124">
        <f>G12*327924.363744</f>
        <v>327924.36374399997</v>
      </c>
      <c r="H29" s="124">
        <f>G12*36071.6822399999</f>
        <v>36071.6822399999</v>
      </c>
      <c r="I29"/>
      <c r="K29"/>
      <c r="L29"/>
      <c r="M29"/>
      <c r="N29"/>
      <c r="O29"/>
      <c r="P29"/>
      <c r="Q29"/>
      <c r="R29"/>
      <c r="S29"/>
      <c r="T29"/>
      <c r="U29"/>
      <c r="V29"/>
      <c r="W29"/>
      <c r="X29"/>
      <c r="Y29"/>
      <c r="Z29"/>
    </row>
    <row r="30" spans="1:26" ht="22.5">
      <c r="A30" s="284"/>
      <c r="B30" s="150" t="s">
        <v>58</v>
      </c>
      <c r="C30" s="122" t="s">
        <v>220</v>
      </c>
      <c r="D30" s="155" t="s">
        <v>8</v>
      </c>
      <c r="E30" s="234"/>
      <c r="F30" s="234"/>
      <c r="G30" s="124">
        <f>G12*330288.893888</f>
        <v>330288.89388799999</v>
      </c>
      <c r="H30" s="124">
        <f>G12*36331.776032</f>
        <v>36331.776032000002</v>
      </c>
      <c r="I30"/>
      <c r="K30"/>
      <c r="L30"/>
      <c r="M30"/>
      <c r="N30"/>
      <c r="O30"/>
      <c r="P30"/>
      <c r="Q30"/>
      <c r="R30"/>
      <c r="S30"/>
      <c r="T30"/>
      <c r="U30"/>
      <c r="V30"/>
      <c r="W30"/>
      <c r="X30"/>
      <c r="Y30"/>
      <c r="Z30"/>
    </row>
    <row r="31" spans="1:26" ht="22.5">
      <c r="A31" s="284"/>
      <c r="B31" s="150" t="s">
        <v>59</v>
      </c>
      <c r="C31" s="126" t="s">
        <v>223</v>
      </c>
      <c r="D31" s="155" t="s">
        <v>8</v>
      </c>
      <c r="E31" s="234"/>
      <c r="F31" s="234"/>
      <c r="G31" s="124">
        <f>G12*353724.748288</f>
        <v>353724.748288</v>
      </c>
      <c r="H31" s="124">
        <f>G12*38909.723392</f>
        <v>38909.723392</v>
      </c>
      <c r="I31"/>
      <c r="K31"/>
      <c r="L31"/>
      <c r="M31"/>
      <c r="N31"/>
      <c r="O31"/>
      <c r="P31"/>
      <c r="Q31"/>
      <c r="R31"/>
      <c r="S31"/>
      <c r="T31"/>
      <c r="U31"/>
      <c r="V31"/>
      <c r="W31"/>
      <c r="X31"/>
      <c r="Y31"/>
      <c r="Z31"/>
    </row>
    <row r="32" spans="1:26" ht="22.5">
      <c r="A32" s="284"/>
      <c r="B32" s="150" t="s">
        <v>60</v>
      </c>
      <c r="C32" s="122" t="s">
        <v>199</v>
      </c>
      <c r="D32" s="155" t="s">
        <v>8</v>
      </c>
      <c r="E32" s="260"/>
      <c r="F32" s="261"/>
      <c r="G32" s="124">
        <f>G12*385855.7</f>
        <v>385855.7</v>
      </c>
      <c r="H32" s="124">
        <f>G12*42444.125312</f>
        <v>42444.125311999996</v>
      </c>
      <c r="I32"/>
      <c r="K32"/>
      <c r="L32"/>
      <c r="M32"/>
      <c r="N32"/>
      <c r="O32"/>
      <c r="P32"/>
      <c r="Q32"/>
      <c r="R32"/>
      <c r="S32"/>
      <c r="T32"/>
      <c r="U32"/>
      <c r="V32"/>
      <c r="W32"/>
      <c r="X32"/>
      <c r="Y32"/>
      <c r="Z32"/>
    </row>
    <row r="33" spans="1:26" ht="18.75" customHeight="1">
      <c r="A33" s="284"/>
      <c r="B33" s="232" t="s">
        <v>100</v>
      </c>
      <c r="C33" s="232"/>
      <c r="D33" s="232"/>
      <c r="E33" s="232"/>
      <c r="F33" s="232"/>
      <c r="G33" s="232"/>
      <c r="H33" s="233"/>
      <c r="I33"/>
      <c r="K33"/>
      <c r="L33"/>
      <c r="M33"/>
      <c r="N33"/>
      <c r="O33"/>
      <c r="P33"/>
      <c r="Q33"/>
      <c r="R33"/>
      <c r="S33"/>
      <c r="T33"/>
      <c r="U33"/>
      <c r="V33"/>
      <c r="W33"/>
      <c r="X33"/>
      <c r="Y33"/>
      <c r="Z33"/>
    </row>
    <row r="34" spans="1:26" ht="70.150000000000006" customHeight="1">
      <c r="A34" s="284"/>
      <c r="B34" s="127">
        <v>205</v>
      </c>
      <c r="C34" s="128" t="s">
        <v>25</v>
      </c>
      <c r="D34" s="129" t="s">
        <v>6</v>
      </c>
      <c r="E34" s="262" t="s">
        <v>128</v>
      </c>
      <c r="F34" s="262"/>
      <c r="G34" s="130">
        <f>G12*1411.168</f>
        <v>1411.1679999999999</v>
      </c>
      <c r="H34" s="130">
        <f>G12*141.792</f>
        <v>141.792</v>
      </c>
      <c r="I34"/>
      <c r="K34"/>
      <c r="L34"/>
      <c r="M34"/>
      <c r="N34"/>
      <c r="O34"/>
      <c r="P34"/>
      <c r="Q34"/>
      <c r="R34"/>
      <c r="S34"/>
      <c r="T34"/>
      <c r="U34"/>
      <c r="V34"/>
      <c r="W34"/>
      <c r="X34"/>
      <c r="Y34"/>
      <c r="Z34"/>
    </row>
    <row r="35" spans="1:26" ht="50.45" customHeight="1">
      <c r="A35" s="26"/>
      <c r="B35" s="151" t="s">
        <v>115</v>
      </c>
      <c r="C35" s="122" t="s">
        <v>203</v>
      </c>
      <c r="D35" s="123" t="s">
        <v>26</v>
      </c>
      <c r="E35" s="257" t="s">
        <v>210</v>
      </c>
      <c r="F35" s="258"/>
      <c r="G35" s="133">
        <f>G12*3150.928832</f>
        <v>3150.9288320000001</v>
      </c>
      <c r="H35" s="133">
        <f>G12*0</f>
        <v>0</v>
      </c>
      <c r="I35"/>
      <c r="K35"/>
      <c r="L35"/>
      <c r="M35"/>
      <c r="N35"/>
      <c r="O35"/>
      <c r="P35"/>
      <c r="Q35"/>
      <c r="R35"/>
      <c r="S35"/>
      <c r="T35"/>
      <c r="U35"/>
      <c r="V35"/>
      <c r="W35"/>
      <c r="X35"/>
      <c r="Y35"/>
      <c r="Z35"/>
    </row>
    <row r="36" spans="1:26" ht="20.45" customHeight="1">
      <c r="A36" s="26"/>
      <c r="B36" s="137"/>
      <c r="C36" s="135"/>
      <c r="D36" s="136"/>
      <c r="E36" s="138"/>
      <c r="F36" s="138"/>
      <c r="G36" s="139"/>
      <c r="H36" s="139"/>
      <c r="I36"/>
      <c r="K36"/>
      <c r="L36"/>
      <c r="M36"/>
      <c r="N36"/>
      <c r="O36"/>
      <c r="P36"/>
      <c r="Q36"/>
      <c r="R36"/>
      <c r="S36"/>
      <c r="T36"/>
      <c r="U36"/>
      <c r="V36"/>
      <c r="W36"/>
      <c r="X36"/>
      <c r="Y36"/>
      <c r="Z36"/>
    </row>
    <row r="37" spans="1:26" ht="22.15" customHeight="1">
      <c r="A37" s="26"/>
      <c r="B37" s="238" t="s">
        <v>116</v>
      </c>
      <c r="C37" s="238"/>
      <c r="D37" s="238"/>
      <c r="E37" s="238"/>
      <c r="F37" s="238"/>
      <c r="G37" s="139"/>
      <c r="H37" s="139"/>
      <c r="I37"/>
      <c r="K37"/>
      <c r="L37"/>
      <c r="M37"/>
      <c r="N37"/>
      <c r="O37"/>
      <c r="P37"/>
      <c r="Q37"/>
      <c r="R37"/>
      <c r="S37"/>
      <c r="T37"/>
      <c r="U37"/>
      <c r="V37"/>
      <c r="W37"/>
      <c r="X37"/>
      <c r="Y37"/>
      <c r="Z37"/>
    </row>
    <row r="38" spans="1:26" ht="49.9" customHeight="1">
      <c r="A38" s="26"/>
      <c r="B38" s="140">
        <v>208</v>
      </c>
      <c r="C38" s="141" t="s">
        <v>204</v>
      </c>
      <c r="D38" s="142"/>
      <c r="E38" s="239" t="s">
        <v>127</v>
      </c>
      <c r="F38" s="240"/>
      <c r="G38" s="134"/>
      <c r="H38" s="134"/>
      <c r="I38"/>
      <c r="K38"/>
      <c r="L38"/>
      <c r="M38"/>
      <c r="N38"/>
      <c r="O38"/>
      <c r="P38"/>
      <c r="Q38"/>
      <c r="R38"/>
      <c r="S38"/>
      <c r="T38"/>
      <c r="U38"/>
      <c r="V38"/>
      <c r="W38"/>
      <c r="X38"/>
      <c r="Y38"/>
      <c r="Z38"/>
    </row>
    <row r="39" spans="1:26" ht="50.45" customHeight="1">
      <c r="A39" s="26"/>
      <c r="B39" s="246" t="s">
        <v>117</v>
      </c>
      <c r="C39" s="241" t="s">
        <v>205</v>
      </c>
      <c r="D39" s="143" t="s">
        <v>121</v>
      </c>
      <c r="E39" s="296" t="s">
        <v>230</v>
      </c>
      <c r="F39" s="297"/>
      <c r="G39" s="144">
        <f>G12*12698.4864</f>
        <v>12698.4864</v>
      </c>
      <c r="H39" s="144">
        <f>G12*636.0384</f>
        <v>636.03840000000002</v>
      </c>
      <c r="I39"/>
      <c r="K39"/>
      <c r="L39"/>
      <c r="M39"/>
      <c r="N39"/>
      <c r="O39"/>
      <c r="P39"/>
      <c r="Q39"/>
      <c r="R39"/>
      <c r="S39"/>
      <c r="T39"/>
      <c r="U39"/>
      <c r="V39"/>
      <c r="W39"/>
      <c r="X39"/>
      <c r="Y39"/>
      <c r="Z39"/>
    </row>
    <row r="40" spans="1:26" ht="52.9" customHeight="1">
      <c r="A40" s="26"/>
      <c r="B40" s="247"/>
      <c r="C40" s="242"/>
      <c r="D40" s="145" t="s">
        <v>122</v>
      </c>
      <c r="E40" s="298"/>
      <c r="F40" s="299"/>
      <c r="G40" s="146">
        <f>G12*3174.1152</f>
        <v>3174.1152000000002</v>
      </c>
      <c r="H40" s="146">
        <f>G12*162.048</f>
        <v>162.048</v>
      </c>
      <c r="I40"/>
      <c r="K40"/>
      <c r="L40"/>
      <c r="M40"/>
      <c r="N40"/>
      <c r="O40"/>
      <c r="P40"/>
      <c r="Q40"/>
      <c r="R40"/>
      <c r="S40"/>
      <c r="T40"/>
      <c r="U40"/>
      <c r="V40"/>
      <c r="W40"/>
      <c r="X40"/>
      <c r="Y40"/>
      <c r="Z40"/>
    </row>
    <row r="41" spans="1:26" ht="47.45" customHeight="1">
      <c r="A41" s="26"/>
      <c r="B41" s="246" t="s">
        <v>118</v>
      </c>
      <c r="C41" s="241" t="s">
        <v>206</v>
      </c>
      <c r="D41" s="143" t="s">
        <v>121</v>
      </c>
      <c r="E41" s="298"/>
      <c r="F41" s="299"/>
      <c r="G41" s="144">
        <f>G12*10593.888</f>
        <v>10593.888000000001</v>
      </c>
      <c r="H41" s="144">
        <f>G12*947.9808</f>
        <v>947.98080000000004</v>
      </c>
      <c r="I41"/>
      <c r="K41"/>
      <c r="L41"/>
      <c r="M41"/>
      <c r="N41"/>
      <c r="O41"/>
      <c r="P41"/>
      <c r="Q41"/>
      <c r="R41"/>
      <c r="S41"/>
      <c r="T41"/>
      <c r="U41"/>
      <c r="V41"/>
      <c r="W41"/>
      <c r="X41"/>
      <c r="Y41"/>
      <c r="Z41"/>
    </row>
    <row r="42" spans="1:26" ht="54" customHeight="1">
      <c r="A42" s="26"/>
      <c r="B42" s="247"/>
      <c r="C42" s="242"/>
      <c r="D42" s="145" t="s">
        <v>122</v>
      </c>
      <c r="E42" s="300"/>
      <c r="F42" s="301"/>
      <c r="G42" s="146">
        <f>G12*1814.9376</f>
        <v>1814.9376</v>
      </c>
      <c r="H42" s="146">
        <f>G12*161.3728</f>
        <v>161.37280000000001</v>
      </c>
      <c r="I42"/>
      <c r="K42"/>
      <c r="L42"/>
      <c r="M42"/>
      <c r="N42"/>
      <c r="O42"/>
      <c r="P42"/>
      <c r="Q42"/>
      <c r="R42"/>
      <c r="S42"/>
      <c r="T42"/>
      <c r="U42"/>
      <c r="V42"/>
      <c r="W42"/>
      <c r="X42"/>
      <c r="Y42"/>
      <c r="Z42"/>
    </row>
    <row r="43" spans="1:26" ht="52.5" customHeight="1">
      <c r="A43" s="26"/>
      <c r="B43" s="131">
        <v>209</v>
      </c>
      <c r="C43" s="147" t="s">
        <v>207</v>
      </c>
      <c r="D43" s="132"/>
      <c r="E43" s="302" t="s">
        <v>126</v>
      </c>
      <c r="F43" s="303"/>
      <c r="G43" s="130"/>
      <c r="H43" s="130"/>
      <c r="I43"/>
      <c r="K43"/>
      <c r="L43"/>
      <c r="M43"/>
      <c r="N43"/>
      <c r="O43"/>
      <c r="P43"/>
      <c r="Q43"/>
      <c r="R43"/>
      <c r="S43"/>
      <c r="T43"/>
      <c r="U43"/>
      <c r="V43"/>
      <c r="W43"/>
      <c r="X43"/>
      <c r="Y43"/>
      <c r="Z43"/>
    </row>
    <row r="44" spans="1:26" ht="55.9" customHeight="1">
      <c r="A44" s="26"/>
      <c r="B44" s="246" t="s">
        <v>119</v>
      </c>
      <c r="C44" s="241" t="s">
        <v>208</v>
      </c>
      <c r="D44" s="143" t="s">
        <v>121</v>
      </c>
      <c r="E44" s="296" t="s">
        <v>231</v>
      </c>
      <c r="F44" s="297"/>
      <c r="G44" s="144">
        <f>G12*10519.616</f>
        <v>10519.616</v>
      </c>
      <c r="H44" s="144">
        <f>G12*496.9472</f>
        <v>496.94720000000001</v>
      </c>
      <c r="I44"/>
      <c r="K44"/>
      <c r="L44"/>
      <c r="M44"/>
      <c r="N44"/>
      <c r="O44"/>
      <c r="P44"/>
      <c r="Q44"/>
      <c r="R44"/>
      <c r="S44"/>
      <c r="T44"/>
      <c r="U44"/>
      <c r="V44"/>
      <c r="W44"/>
      <c r="X44"/>
      <c r="Y44"/>
      <c r="Z44"/>
    </row>
    <row r="45" spans="1:26" ht="49.15" customHeight="1">
      <c r="A45" s="26"/>
      <c r="B45" s="247"/>
      <c r="C45" s="242"/>
      <c r="D45" s="145" t="s">
        <v>122</v>
      </c>
      <c r="E45" s="298"/>
      <c r="F45" s="299"/>
      <c r="G45" s="146">
        <f>G12*2997.915008</f>
        <v>2997.9150079999999</v>
      </c>
      <c r="H45" s="146">
        <f>G12*154.539776</f>
        <v>154.53977599999999</v>
      </c>
      <c r="I45"/>
      <c r="K45"/>
      <c r="L45"/>
      <c r="M45"/>
      <c r="N45"/>
      <c r="O45"/>
      <c r="P45"/>
      <c r="Q45"/>
      <c r="R45"/>
      <c r="S45"/>
      <c r="T45"/>
      <c r="U45"/>
      <c r="V45"/>
      <c r="W45"/>
      <c r="X45"/>
      <c r="Y45"/>
      <c r="Z45"/>
    </row>
    <row r="46" spans="1:26" ht="59.45" customHeight="1">
      <c r="A46" s="26"/>
      <c r="B46" s="246" t="s">
        <v>120</v>
      </c>
      <c r="C46" s="241" t="s">
        <v>209</v>
      </c>
      <c r="D46" s="143" t="s">
        <v>121</v>
      </c>
      <c r="E46" s="298"/>
      <c r="F46" s="299"/>
      <c r="G46" s="144">
        <f>G12*6955.2352</f>
        <v>6955.2352000000001</v>
      </c>
      <c r="H46" s="144">
        <f>G12*563.792</f>
        <v>563.79200000000003</v>
      </c>
      <c r="I46"/>
      <c r="K46"/>
      <c r="L46"/>
      <c r="M46"/>
      <c r="N46"/>
      <c r="O46"/>
      <c r="P46"/>
      <c r="Q46"/>
      <c r="R46"/>
      <c r="S46"/>
      <c r="T46"/>
      <c r="U46"/>
      <c r="V46"/>
      <c r="W46"/>
      <c r="X46"/>
      <c r="Y46"/>
      <c r="Z46"/>
    </row>
    <row r="47" spans="1:26" ht="43.9" customHeight="1">
      <c r="A47" s="26"/>
      <c r="B47" s="323"/>
      <c r="C47" s="324"/>
      <c r="D47" s="148" t="s">
        <v>122</v>
      </c>
      <c r="E47" s="298"/>
      <c r="F47" s="299"/>
      <c r="G47" s="146">
        <f>G12*1647.211168</f>
        <v>1647.211168</v>
      </c>
      <c r="H47" s="146">
        <f>G12*134.472832</f>
        <v>134.47283200000001</v>
      </c>
      <c r="I47"/>
      <c r="K47"/>
      <c r="L47"/>
      <c r="M47"/>
      <c r="N47"/>
      <c r="O47"/>
      <c r="P47"/>
      <c r="Q47"/>
      <c r="R47"/>
      <c r="S47"/>
      <c r="T47"/>
      <c r="U47"/>
      <c r="V47"/>
      <c r="W47"/>
      <c r="X47"/>
      <c r="Y47"/>
      <c r="Z47"/>
    </row>
    <row r="48" spans="1:26" ht="221.45" customHeight="1">
      <c r="A48" s="26"/>
      <c r="B48" s="137">
        <v>103</v>
      </c>
      <c r="C48" s="163" t="s">
        <v>260</v>
      </c>
      <c r="D48" s="149" t="s">
        <v>242</v>
      </c>
      <c r="E48" s="230" t="s">
        <v>243</v>
      </c>
      <c r="F48" s="231"/>
      <c r="G48" s="130">
        <f>G12*178252.8</f>
        <v>178252.79999999999</v>
      </c>
      <c r="H48" s="130">
        <f>G12*19607.808</f>
        <v>19607.808000000001</v>
      </c>
      <c r="I48"/>
      <c r="K48"/>
      <c r="L48"/>
      <c r="M48"/>
      <c r="N48"/>
      <c r="O48"/>
      <c r="P48"/>
      <c r="Q48"/>
      <c r="R48"/>
      <c r="S48"/>
      <c r="T48"/>
      <c r="U48"/>
      <c r="V48"/>
      <c r="W48"/>
      <c r="X48"/>
      <c r="Y48"/>
      <c r="Z48"/>
    </row>
    <row r="49" spans="1:27" ht="18.75" customHeight="1" thickBot="1">
      <c r="A49" s="274"/>
      <c r="B49" s="274"/>
      <c r="C49" s="274"/>
      <c r="D49" s="274"/>
      <c r="E49" s="274"/>
      <c r="F49" s="274"/>
      <c r="G49" s="274"/>
      <c r="H49" s="275"/>
      <c r="I49"/>
      <c r="K49"/>
      <c r="L49"/>
      <c r="M49"/>
      <c r="N49"/>
      <c r="O49"/>
      <c r="P49"/>
      <c r="Q49"/>
      <c r="R49"/>
      <c r="S49"/>
      <c r="T49"/>
      <c r="U49"/>
      <c r="V49"/>
      <c r="W49"/>
      <c r="X49"/>
      <c r="Y49"/>
      <c r="Z49"/>
    </row>
    <row r="50" spans="1:27" ht="24.75" customHeight="1" thickTop="1">
      <c r="A50" s="276" t="s">
        <v>86</v>
      </c>
      <c r="B50" s="277"/>
      <c r="C50" s="277"/>
      <c r="D50" s="277"/>
      <c r="E50" s="277"/>
      <c r="F50" s="277"/>
      <c r="G50" s="282" t="s">
        <v>99</v>
      </c>
      <c r="H50" s="283"/>
      <c r="I50"/>
      <c r="K50"/>
      <c r="L50"/>
      <c r="M50"/>
      <c r="N50"/>
      <c r="O50"/>
      <c r="P50"/>
      <c r="Q50"/>
      <c r="R50"/>
      <c r="S50"/>
      <c r="T50"/>
      <c r="U50"/>
      <c r="V50"/>
      <c r="W50"/>
      <c r="X50"/>
      <c r="Y50"/>
      <c r="Z50"/>
    </row>
    <row r="51" spans="1:27" ht="15" customHeight="1" thickBot="1">
      <c r="A51" s="278"/>
      <c r="B51" s="279"/>
      <c r="C51" s="279"/>
      <c r="D51" s="279"/>
      <c r="E51" s="279"/>
      <c r="F51" s="279"/>
      <c r="G51" s="280">
        <v>1</v>
      </c>
      <c r="H51" s="281"/>
      <c r="I51"/>
      <c r="K51"/>
      <c r="L51"/>
      <c r="M51"/>
      <c r="N51"/>
      <c r="O51"/>
      <c r="P51"/>
      <c r="Q51"/>
      <c r="R51"/>
      <c r="S51"/>
      <c r="T51"/>
      <c r="U51"/>
      <c r="V51"/>
      <c r="W51"/>
      <c r="X51"/>
      <c r="Y51"/>
      <c r="Z51"/>
    </row>
    <row r="52" spans="1:27" ht="78.599999999999994" customHeight="1" thickTop="1">
      <c r="A52" s="243"/>
      <c r="B52" s="64">
        <v>401</v>
      </c>
      <c r="C52" s="85" t="s">
        <v>165</v>
      </c>
      <c r="D52" s="86" t="s">
        <v>17</v>
      </c>
      <c r="E52" s="204" t="s">
        <v>166</v>
      </c>
      <c r="F52" s="204"/>
      <c r="G52" s="50">
        <f>G12*224.1664</f>
        <v>224.16640000000001</v>
      </c>
      <c r="H52" s="50">
        <f>G12*24.9824</f>
        <v>24.982399999999998</v>
      </c>
      <c r="I52"/>
      <c r="K52"/>
      <c r="L52"/>
      <c r="M52"/>
      <c r="N52"/>
      <c r="O52"/>
      <c r="P52"/>
      <c r="Q52"/>
      <c r="R52"/>
      <c r="S52"/>
      <c r="T52"/>
      <c r="U52"/>
      <c r="V52"/>
      <c r="W52"/>
      <c r="X52"/>
      <c r="Y52"/>
      <c r="Z52"/>
    </row>
    <row r="53" spans="1:27" ht="90.6" customHeight="1">
      <c r="A53" s="243"/>
      <c r="B53" s="109" t="s">
        <v>123</v>
      </c>
      <c r="C53" s="110" t="s">
        <v>181</v>
      </c>
      <c r="D53" s="111" t="s">
        <v>17</v>
      </c>
      <c r="E53" s="331" t="s">
        <v>224</v>
      </c>
      <c r="F53" s="332"/>
      <c r="G53" s="84">
        <f>G12*702.61312</f>
        <v>702.61311999999998</v>
      </c>
      <c r="H53" s="84">
        <f>G12*70.261312</f>
        <v>70.261312000000004</v>
      </c>
      <c r="I53"/>
      <c r="K53"/>
      <c r="L53"/>
      <c r="M53"/>
      <c r="N53"/>
      <c r="O53"/>
      <c r="P53"/>
      <c r="Q53"/>
      <c r="R53"/>
      <c r="S53"/>
      <c r="T53"/>
      <c r="U53"/>
      <c r="V53"/>
      <c r="W53"/>
      <c r="X53"/>
      <c r="Y53"/>
      <c r="Z53"/>
    </row>
    <row r="54" spans="1:27" ht="132" customHeight="1">
      <c r="A54" s="243"/>
      <c r="B54" s="64">
        <v>403</v>
      </c>
      <c r="C54" s="87" t="s">
        <v>40</v>
      </c>
      <c r="D54" s="53" t="s">
        <v>19</v>
      </c>
      <c r="E54" s="250" t="s">
        <v>248</v>
      </c>
      <c r="F54" s="250"/>
      <c r="G54" s="50"/>
      <c r="H54" s="50"/>
      <c r="I54"/>
      <c r="K54"/>
      <c r="L54"/>
      <c r="M54"/>
      <c r="N54"/>
      <c r="O54"/>
      <c r="P54"/>
      <c r="Q54"/>
      <c r="R54"/>
      <c r="S54"/>
      <c r="T54"/>
      <c r="U54"/>
      <c r="V54"/>
      <c r="W54"/>
      <c r="X54"/>
      <c r="Y54"/>
    </row>
    <row r="55" spans="1:27" ht="15.75" customHeight="1">
      <c r="A55" s="243"/>
      <c r="B55" s="112" t="s">
        <v>61</v>
      </c>
      <c r="C55" s="88" t="s">
        <v>167</v>
      </c>
      <c r="D55" s="40" t="s">
        <v>19</v>
      </c>
      <c r="E55" s="235"/>
      <c r="F55" s="235"/>
      <c r="G55" s="84">
        <f>G12*20424.8</f>
        <v>20424.8</v>
      </c>
      <c r="H55" s="84">
        <f>G12*1429.736</f>
        <v>1429.7360000000001</v>
      </c>
      <c r="I55"/>
      <c r="K55"/>
      <c r="L55"/>
      <c r="M55"/>
      <c r="N55"/>
      <c r="O55"/>
      <c r="P55"/>
      <c r="Q55"/>
      <c r="R55"/>
      <c r="S55"/>
      <c r="T55"/>
      <c r="U55"/>
      <c r="V55"/>
      <c r="W55"/>
      <c r="X55"/>
      <c r="Y55"/>
    </row>
    <row r="56" spans="1:27" ht="18.75" customHeight="1">
      <c r="A56" s="243"/>
      <c r="B56" s="112" t="s">
        <v>62</v>
      </c>
      <c r="C56" s="89" t="s">
        <v>168</v>
      </c>
      <c r="D56" s="40" t="s">
        <v>19</v>
      </c>
      <c r="E56" s="236"/>
      <c r="F56" s="237"/>
      <c r="G56" s="84">
        <f>G12*24550.272</f>
        <v>24550.272000000001</v>
      </c>
      <c r="H56" s="84">
        <f>G12*1473.01632</f>
        <v>1473.01632</v>
      </c>
      <c r="I56"/>
      <c r="K56"/>
      <c r="L56"/>
      <c r="M56"/>
      <c r="N56"/>
      <c r="O56"/>
      <c r="P56"/>
      <c r="Q56"/>
      <c r="R56"/>
      <c r="S56"/>
      <c r="T56"/>
      <c r="U56"/>
      <c r="V56"/>
      <c r="W56"/>
      <c r="X56"/>
      <c r="Y56"/>
    </row>
    <row r="57" spans="1:27" ht="15" customHeight="1">
      <c r="A57" s="243"/>
      <c r="B57" s="112" t="s">
        <v>108</v>
      </c>
      <c r="C57" s="89" t="s">
        <v>169</v>
      </c>
      <c r="D57" s="40" t="s">
        <v>19</v>
      </c>
      <c r="E57" s="286"/>
      <c r="F57" s="287"/>
      <c r="G57" s="84">
        <f>G12*30881.6224</f>
        <v>30881.6224</v>
      </c>
      <c r="H57" s="84">
        <f>G12*1544.08112</f>
        <v>1544.0811200000001</v>
      </c>
      <c r="I57"/>
      <c r="K57"/>
      <c r="L57"/>
      <c r="M57"/>
      <c r="N57"/>
      <c r="O57"/>
      <c r="P57"/>
      <c r="Q57"/>
      <c r="R57"/>
      <c r="S57"/>
      <c r="T57"/>
      <c r="U57"/>
      <c r="V57"/>
      <c r="W57"/>
      <c r="X57"/>
      <c r="Y57"/>
    </row>
    <row r="58" spans="1:27" ht="31.15" customHeight="1">
      <c r="A58" s="243"/>
      <c r="B58" s="112" t="s">
        <v>233</v>
      </c>
      <c r="C58" s="159" t="s">
        <v>238</v>
      </c>
      <c r="D58" s="158"/>
      <c r="E58" s="286"/>
      <c r="F58" s="287"/>
      <c r="G58" s="84"/>
      <c r="H58" s="84"/>
      <c r="I58"/>
      <c r="K58"/>
      <c r="L58"/>
      <c r="M58"/>
      <c r="N58"/>
      <c r="O58"/>
      <c r="P58"/>
      <c r="Q58"/>
      <c r="R58"/>
      <c r="S58"/>
      <c r="T58"/>
      <c r="U58"/>
      <c r="V58"/>
      <c r="W58"/>
      <c r="X58"/>
      <c r="Y58"/>
    </row>
    <row r="59" spans="1:27" ht="15" customHeight="1">
      <c r="A59" s="243"/>
      <c r="B59" s="112" t="s">
        <v>234</v>
      </c>
      <c r="C59" s="89" t="s">
        <v>236</v>
      </c>
      <c r="D59" s="158" t="s">
        <v>19</v>
      </c>
      <c r="E59" s="320" t="s">
        <v>239</v>
      </c>
      <c r="F59" s="321"/>
      <c r="G59" s="84">
        <f>G12*4348.058432</f>
        <v>4348.0584319999998</v>
      </c>
      <c r="H59" s="84">
        <f>G12*1429.736</f>
        <v>1429.7360000000001</v>
      </c>
      <c r="I59"/>
      <c r="K59"/>
      <c r="L59"/>
      <c r="M59"/>
      <c r="N59"/>
      <c r="O59"/>
      <c r="P59"/>
      <c r="Q59"/>
      <c r="R59"/>
      <c r="S59"/>
      <c r="T59"/>
      <c r="U59"/>
      <c r="V59"/>
      <c r="W59"/>
      <c r="X59"/>
      <c r="Y59"/>
    </row>
    <row r="60" spans="1:27" ht="15" customHeight="1">
      <c r="A60" s="243"/>
      <c r="B60" s="112" t="s">
        <v>235</v>
      </c>
      <c r="C60" s="89" t="s">
        <v>237</v>
      </c>
      <c r="D60" s="158" t="s">
        <v>19</v>
      </c>
      <c r="E60" s="320" t="s">
        <v>239</v>
      </c>
      <c r="F60" s="321"/>
      <c r="G60" s="84">
        <f>G12*10122.287808</f>
        <v>10122.287807999999</v>
      </c>
      <c r="H60" s="84">
        <f>G12*1473.01632</f>
        <v>1473.01632</v>
      </c>
      <c r="I60"/>
      <c r="K60"/>
      <c r="L60"/>
      <c r="M60"/>
      <c r="N60"/>
      <c r="O60"/>
      <c r="P60"/>
      <c r="Q60"/>
      <c r="R60"/>
      <c r="S60"/>
      <c r="T60"/>
      <c r="U60"/>
      <c r="V60"/>
      <c r="W60"/>
      <c r="X60"/>
      <c r="Y60"/>
    </row>
    <row r="61" spans="1:27" ht="69.599999999999994" customHeight="1">
      <c r="A61" s="243"/>
      <c r="B61" s="90">
        <v>404</v>
      </c>
      <c r="C61" s="91" t="s">
        <v>28</v>
      </c>
      <c r="D61" s="92" t="s">
        <v>20</v>
      </c>
      <c r="E61" s="249" t="s">
        <v>170</v>
      </c>
      <c r="F61" s="249"/>
      <c r="G61" s="50">
        <f>G12*4084.96</f>
        <v>4084.96</v>
      </c>
      <c r="H61" s="50">
        <f>G12*449.3456</f>
        <v>449.34559999999999</v>
      </c>
      <c r="I61"/>
      <c r="K61"/>
      <c r="L61"/>
      <c r="M61"/>
      <c r="N61"/>
      <c r="O61"/>
      <c r="P61"/>
      <c r="Q61"/>
      <c r="R61"/>
      <c r="S61"/>
      <c r="T61"/>
      <c r="U61"/>
      <c r="V61"/>
      <c r="W61"/>
      <c r="X61"/>
      <c r="Y61"/>
    </row>
    <row r="62" spans="1:27" ht="78.599999999999994" customHeight="1">
      <c r="A62" s="243"/>
      <c r="B62" s="64">
        <v>405</v>
      </c>
      <c r="C62" s="93" t="s">
        <v>171</v>
      </c>
      <c r="D62" s="53" t="s">
        <v>19</v>
      </c>
      <c r="E62" s="250" t="s">
        <v>247</v>
      </c>
      <c r="F62" s="250"/>
      <c r="G62" s="50">
        <f>G12*1411.168</f>
        <v>1411.1679999999999</v>
      </c>
      <c r="H62" s="50">
        <f>G12*155.22848</f>
        <v>155.22847999999999</v>
      </c>
      <c r="I62"/>
      <c r="K62"/>
      <c r="L62"/>
      <c r="M62"/>
      <c r="N62"/>
      <c r="O62"/>
      <c r="P62"/>
      <c r="Q62"/>
      <c r="R62"/>
      <c r="S62"/>
      <c r="T62"/>
      <c r="U62"/>
      <c r="V62"/>
      <c r="W62"/>
      <c r="X62"/>
      <c r="Y62"/>
    </row>
    <row r="63" spans="1:27" ht="87.6" customHeight="1">
      <c r="A63" s="243"/>
      <c r="B63" s="64">
        <v>408</v>
      </c>
      <c r="C63" s="94" t="s">
        <v>211</v>
      </c>
      <c r="D63" s="10" t="s">
        <v>37</v>
      </c>
      <c r="E63" s="273" t="s">
        <v>172</v>
      </c>
      <c r="F63" s="273"/>
      <c r="G63" s="50">
        <f>G12*165.96416</f>
        <v>165.96415999999999</v>
      </c>
      <c r="H63" s="50">
        <f>G12*8.91264</f>
        <v>8.9126399999999997</v>
      </c>
      <c r="I63"/>
      <c r="K63"/>
      <c r="L63"/>
      <c r="M63"/>
      <c r="N63"/>
      <c r="O63"/>
      <c r="P63"/>
      <c r="Q63"/>
      <c r="R63"/>
      <c r="S63"/>
      <c r="T63"/>
      <c r="U63"/>
      <c r="V63"/>
      <c r="W63"/>
      <c r="X63"/>
      <c r="Y63"/>
      <c r="Z63"/>
      <c r="AA63"/>
    </row>
    <row r="64" spans="1:27" ht="54.6" customHeight="1">
      <c r="A64" s="243"/>
      <c r="B64" s="109" t="s">
        <v>225</v>
      </c>
      <c r="C64" s="156" t="s">
        <v>227</v>
      </c>
      <c r="D64" s="157" t="s">
        <v>37</v>
      </c>
      <c r="E64" s="251" t="s">
        <v>229</v>
      </c>
      <c r="F64" s="251"/>
      <c r="G64" s="84">
        <f>G12*91.705664</f>
        <v>91.705663999999999</v>
      </c>
      <c r="H64" s="84">
        <f>G12*9.128704</f>
        <v>9.1287040000000008</v>
      </c>
      <c r="I64"/>
      <c r="K64"/>
      <c r="L64"/>
      <c r="M64"/>
      <c r="N64"/>
      <c r="O64"/>
      <c r="P64"/>
      <c r="Q64"/>
      <c r="R64"/>
      <c r="S64"/>
      <c r="T64"/>
      <c r="U64"/>
      <c r="V64"/>
      <c r="W64"/>
      <c r="X64"/>
      <c r="Y64"/>
      <c r="Z64"/>
      <c r="AA64"/>
    </row>
    <row r="65" spans="1:27" ht="92.45" customHeight="1">
      <c r="A65" s="243"/>
      <c r="B65" s="64">
        <v>409</v>
      </c>
      <c r="C65" s="94" t="s">
        <v>212</v>
      </c>
      <c r="D65" s="10" t="s">
        <v>37</v>
      </c>
      <c r="E65" s="273" t="s">
        <v>172</v>
      </c>
      <c r="F65" s="273"/>
      <c r="G65" s="50">
        <f>G12*260.2896</f>
        <v>260.28960000000001</v>
      </c>
      <c r="H65" s="50">
        <f>G12*8.91264</f>
        <v>8.9126399999999997</v>
      </c>
      <c r="I65"/>
      <c r="K65"/>
      <c r="L65"/>
      <c r="M65"/>
      <c r="N65"/>
      <c r="O65"/>
      <c r="P65"/>
      <c r="Q65"/>
      <c r="R65"/>
      <c r="S65"/>
      <c r="T65"/>
      <c r="U65"/>
      <c r="V65"/>
      <c r="W65"/>
      <c r="X65"/>
      <c r="Y65"/>
      <c r="Z65"/>
      <c r="AA65"/>
    </row>
    <row r="66" spans="1:27" ht="51" customHeight="1">
      <c r="A66" s="243"/>
      <c r="B66" s="109" t="s">
        <v>228</v>
      </c>
      <c r="C66" s="156" t="s">
        <v>226</v>
      </c>
      <c r="D66" s="157" t="s">
        <v>37</v>
      </c>
      <c r="E66" s="252" t="s">
        <v>229</v>
      </c>
      <c r="F66" s="253"/>
      <c r="G66" s="84">
        <f>G12*143.061376</f>
        <v>143.061376</v>
      </c>
      <c r="H66" s="84">
        <f>G12*14.307488</f>
        <v>14.307487999999999</v>
      </c>
      <c r="I66"/>
      <c r="K66"/>
      <c r="L66"/>
      <c r="M66"/>
      <c r="N66"/>
      <c r="O66"/>
      <c r="P66"/>
      <c r="Q66"/>
      <c r="R66"/>
      <c r="S66"/>
      <c r="T66"/>
      <c r="U66"/>
      <c r="V66"/>
      <c r="W66"/>
      <c r="X66"/>
      <c r="Y66"/>
      <c r="Z66"/>
      <c r="AA66"/>
    </row>
    <row r="67" spans="1:27" ht="25.9" customHeight="1">
      <c r="A67" s="243"/>
      <c r="B67" s="51">
        <v>418</v>
      </c>
      <c r="C67" s="52" t="s">
        <v>91</v>
      </c>
      <c r="D67" s="53" t="s">
        <v>18</v>
      </c>
      <c r="E67" s="259" t="s">
        <v>77</v>
      </c>
      <c r="F67" s="259"/>
      <c r="G67" s="50"/>
      <c r="H67" s="50"/>
      <c r="I67"/>
      <c r="K67"/>
      <c r="L67"/>
      <c r="M67"/>
      <c r="N67"/>
      <c r="O67"/>
      <c r="P67"/>
      <c r="Q67"/>
      <c r="R67"/>
      <c r="S67"/>
      <c r="T67"/>
      <c r="U67"/>
      <c r="V67"/>
      <c r="W67"/>
      <c r="X67"/>
      <c r="Y67"/>
      <c r="Z67"/>
      <c r="AA67"/>
    </row>
    <row r="68" spans="1:27" ht="24">
      <c r="A68" s="243"/>
      <c r="B68" s="113" t="s">
        <v>63</v>
      </c>
      <c r="C68" s="83" t="s">
        <v>173</v>
      </c>
      <c r="D68" s="40" t="s">
        <v>18</v>
      </c>
      <c r="E68" s="227"/>
      <c r="F68" s="227"/>
      <c r="G68" s="84">
        <f>G12*89.464</f>
        <v>89.463999999999999</v>
      </c>
      <c r="H68" s="84">
        <f>G12*8.9464</f>
        <v>8.9464000000000006</v>
      </c>
      <c r="I68"/>
      <c r="K68"/>
      <c r="L68"/>
      <c r="M68"/>
      <c r="N68"/>
      <c r="O68"/>
      <c r="P68"/>
      <c r="Q68"/>
      <c r="R68"/>
      <c r="S68"/>
      <c r="T68"/>
      <c r="U68"/>
      <c r="V68"/>
      <c r="W68"/>
      <c r="X68"/>
      <c r="Y68"/>
      <c r="Z68"/>
      <c r="AA68"/>
    </row>
    <row r="69" spans="1:27" ht="24">
      <c r="A69" s="243"/>
      <c r="B69" s="113" t="s">
        <v>109</v>
      </c>
      <c r="C69" s="83" t="s">
        <v>174</v>
      </c>
      <c r="D69" s="40" t="s">
        <v>18</v>
      </c>
      <c r="E69" s="227"/>
      <c r="F69" s="227"/>
      <c r="G69" s="84">
        <f>G12*182.304</f>
        <v>182.304</v>
      </c>
      <c r="H69" s="84">
        <f>G12*18.2304</f>
        <v>18.230399999999999</v>
      </c>
      <c r="I69"/>
      <c r="K69"/>
      <c r="L69"/>
      <c r="M69"/>
      <c r="N69"/>
      <c r="O69"/>
      <c r="P69"/>
      <c r="Q69"/>
      <c r="R69"/>
      <c r="S69"/>
      <c r="T69"/>
      <c r="U69"/>
      <c r="V69"/>
      <c r="W69"/>
      <c r="X69"/>
      <c r="Y69"/>
      <c r="Z69"/>
      <c r="AA69"/>
    </row>
    <row r="70" spans="1:27" ht="55.15" customHeight="1">
      <c r="A70" s="243"/>
      <c r="B70" s="81">
        <v>419</v>
      </c>
      <c r="C70" s="68" t="s">
        <v>87</v>
      </c>
      <c r="D70" s="36" t="s">
        <v>6</v>
      </c>
      <c r="E70" s="254" t="s">
        <v>90</v>
      </c>
      <c r="F70" s="255"/>
      <c r="G70" s="50">
        <f>G12*1897.9872</f>
        <v>1897.9872</v>
      </c>
      <c r="H70" s="50">
        <f>G12*208.778592</f>
        <v>208.778592</v>
      </c>
      <c r="I70"/>
      <c r="K70"/>
      <c r="L70"/>
      <c r="M70"/>
      <c r="N70"/>
      <c r="O70"/>
      <c r="P70"/>
      <c r="Q70"/>
      <c r="R70"/>
      <c r="S70"/>
      <c r="T70"/>
      <c r="U70"/>
      <c r="V70"/>
      <c r="W70"/>
      <c r="X70"/>
      <c r="Y70"/>
      <c r="Z70"/>
      <c r="AA70"/>
    </row>
    <row r="71" spans="1:27" ht="127.15" customHeight="1">
      <c r="A71" s="243"/>
      <c r="B71" s="51">
        <v>422</v>
      </c>
      <c r="C71" s="95" t="s">
        <v>182</v>
      </c>
      <c r="D71" s="96" t="s">
        <v>36</v>
      </c>
      <c r="E71" s="259" t="s">
        <v>78</v>
      </c>
      <c r="F71" s="259"/>
      <c r="G71" s="50">
        <f>G12*358.8688</f>
        <v>358.86880000000002</v>
      </c>
      <c r="H71" s="50">
        <f>G12*22.2816</f>
        <v>22.281600000000001</v>
      </c>
      <c r="I71"/>
      <c r="K71"/>
      <c r="L71"/>
      <c r="M71"/>
      <c r="N71"/>
      <c r="O71"/>
      <c r="P71"/>
      <c r="Q71"/>
      <c r="R71"/>
      <c r="S71"/>
      <c r="T71"/>
      <c r="U71"/>
      <c r="V71"/>
      <c r="W71"/>
      <c r="X71"/>
      <c r="Y71"/>
      <c r="Z71"/>
      <c r="AA71"/>
    </row>
    <row r="72" spans="1:27" ht="99" customHeight="1">
      <c r="A72" s="243"/>
      <c r="B72" s="35" t="s">
        <v>213</v>
      </c>
      <c r="C72" s="95" t="s">
        <v>182</v>
      </c>
      <c r="D72" s="96" t="s">
        <v>36</v>
      </c>
      <c r="E72" s="256" t="s">
        <v>217</v>
      </c>
      <c r="F72" s="256"/>
      <c r="G72" s="84">
        <f>G12*80.99024</f>
        <v>80.99024</v>
      </c>
      <c r="H72" s="84">
        <f>G12*0</f>
        <v>0</v>
      </c>
      <c r="I72"/>
      <c r="K72"/>
      <c r="L72"/>
      <c r="M72"/>
      <c r="N72"/>
      <c r="O72"/>
      <c r="P72"/>
      <c r="Q72"/>
      <c r="R72"/>
      <c r="S72"/>
      <c r="T72"/>
      <c r="U72"/>
      <c r="V72"/>
      <c r="W72"/>
      <c r="X72"/>
      <c r="Y72"/>
      <c r="Z72"/>
    </row>
    <row r="73" spans="1:27" ht="92.45" customHeight="1">
      <c r="A73" s="243"/>
      <c r="B73" s="35" t="s">
        <v>215</v>
      </c>
      <c r="C73" s="154" t="s">
        <v>214</v>
      </c>
      <c r="D73" s="96" t="s">
        <v>36</v>
      </c>
      <c r="E73" s="256" t="s">
        <v>216</v>
      </c>
      <c r="F73" s="256"/>
      <c r="G73" s="84">
        <f>G12*80.99024</f>
        <v>80.99024</v>
      </c>
      <c r="H73" s="84">
        <f>G12*0</f>
        <v>0</v>
      </c>
      <c r="I73"/>
      <c r="K73"/>
      <c r="L73"/>
      <c r="M73"/>
      <c r="N73"/>
      <c r="O73"/>
      <c r="P73"/>
      <c r="Q73"/>
      <c r="R73"/>
      <c r="S73"/>
      <c r="T73"/>
      <c r="U73"/>
      <c r="V73"/>
      <c r="W73"/>
      <c r="X73"/>
      <c r="Y73"/>
      <c r="Z73"/>
    </row>
    <row r="74" spans="1:27" ht="118.9" customHeight="1">
      <c r="A74" s="243"/>
      <c r="B74" s="51">
        <v>423</v>
      </c>
      <c r="C74" s="97" t="s">
        <v>29</v>
      </c>
      <c r="D74" s="66" t="s">
        <v>110</v>
      </c>
      <c r="E74" s="245" t="s">
        <v>175</v>
      </c>
      <c r="F74" s="245"/>
      <c r="G74" s="50">
        <f>G12*253200</f>
        <v>253200</v>
      </c>
      <c r="H74" s="50">
        <f>G12*45576</f>
        <v>45576</v>
      </c>
      <c r="I74"/>
      <c r="K74"/>
      <c r="L74"/>
      <c r="M74"/>
      <c r="N74"/>
      <c r="O74"/>
      <c r="P74"/>
      <c r="Q74"/>
      <c r="R74"/>
      <c r="S74"/>
      <c r="T74"/>
      <c r="U74"/>
      <c r="V74"/>
      <c r="W74"/>
      <c r="X74"/>
      <c r="Y74"/>
      <c r="Z74"/>
    </row>
    <row r="75" spans="1:27" ht="121.9" customHeight="1">
      <c r="A75" s="243"/>
      <c r="B75" s="51">
        <v>424</v>
      </c>
      <c r="C75" s="98" t="s">
        <v>255</v>
      </c>
      <c r="D75" s="99" t="s">
        <v>21</v>
      </c>
      <c r="E75" s="192" t="s">
        <v>176</v>
      </c>
      <c r="F75" s="192"/>
      <c r="G75" s="50">
        <f>G12*185532.8064</f>
        <v>185532.8064</v>
      </c>
      <c r="H75" s="50">
        <f>G12*29685.249024</f>
        <v>29685.249024000001</v>
      </c>
      <c r="I75"/>
      <c r="K75"/>
      <c r="L75"/>
      <c r="M75"/>
      <c r="N75"/>
      <c r="O75"/>
      <c r="P75"/>
      <c r="Q75"/>
      <c r="R75"/>
      <c r="S75"/>
      <c r="T75"/>
      <c r="U75"/>
      <c r="V75"/>
      <c r="W75"/>
      <c r="X75"/>
      <c r="Y75"/>
      <c r="Z75"/>
    </row>
    <row r="76" spans="1:27" ht="121.9" customHeight="1">
      <c r="A76" s="244"/>
      <c r="B76" s="82">
        <v>425</v>
      </c>
      <c r="C76" s="100" t="s">
        <v>183</v>
      </c>
      <c r="D76" s="101" t="s">
        <v>34</v>
      </c>
      <c r="E76" s="248" t="s">
        <v>177</v>
      </c>
      <c r="F76" s="248"/>
      <c r="G76" s="102">
        <f>G12*810.24</f>
        <v>810.24</v>
      </c>
      <c r="H76" s="102">
        <f>G12*81.024</f>
        <v>81.024000000000001</v>
      </c>
      <c r="I76"/>
      <c r="K76"/>
      <c r="L76"/>
      <c r="M76"/>
      <c r="N76"/>
      <c r="O76"/>
      <c r="P76"/>
      <c r="Q76"/>
      <c r="R76"/>
      <c r="S76"/>
      <c r="T76"/>
      <c r="U76"/>
      <c r="V76"/>
      <c r="W76"/>
      <c r="X76"/>
      <c r="Y76"/>
      <c r="Z76"/>
      <c r="AA76"/>
    </row>
    <row r="77" spans="1:27" ht="49.15" customHeight="1">
      <c r="A77" s="25"/>
      <c r="B77" s="103">
        <v>426</v>
      </c>
      <c r="C77" s="104" t="s">
        <v>113</v>
      </c>
      <c r="D77" s="105" t="s">
        <v>9</v>
      </c>
      <c r="E77" s="333" t="s">
        <v>240</v>
      </c>
      <c r="F77" s="333"/>
      <c r="G77" s="44">
        <f>G12*75.6224</f>
        <v>75.622399999999999</v>
      </c>
      <c r="H77" s="44">
        <f>G12*0</f>
        <v>0</v>
      </c>
      <c r="I77"/>
      <c r="K77"/>
      <c r="L77"/>
      <c r="M77"/>
      <c r="N77"/>
      <c r="O77"/>
      <c r="P77"/>
      <c r="Q77"/>
      <c r="R77"/>
      <c r="S77"/>
      <c r="T77"/>
      <c r="U77"/>
      <c r="V77"/>
      <c r="W77"/>
      <c r="X77"/>
      <c r="Y77"/>
      <c r="Z77"/>
      <c r="AA77"/>
    </row>
    <row r="78" spans="1:27" ht="41.45" customHeight="1">
      <c r="A78" s="25"/>
      <c r="B78" s="114" t="s">
        <v>114</v>
      </c>
      <c r="C78" s="106" t="s">
        <v>193</v>
      </c>
      <c r="D78" s="107" t="s">
        <v>39</v>
      </c>
      <c r="E78" s="168" t="s">
        <v>178</v>
      </c>
      <c r="F78" s="168"/>
      <c r="G78" s="108">
        <f>G12*76.2976</f>
        <v>76.297600000000003</v>
      </c>
      <c r="H78" s="108">
        <f>G12*14.1792</f>
        <v>14.1792</v>
      </c>
      <c r="I78"/>
      <c r="K78"/>
      <c r="L78"/>
      <c r="M78"/>
      <c r="N78"/>
      <c r="O78"/>
      <c r="P78"/>
      <c r="Q78"/>
      <c r="R78"/>
      <c r="S78"/>
      <c r="T78"/>
      <c r="U78"/>
      <c r="V78"/>
      <c r="W78"/>
      <c r="X78"/>
      <c r="Y78"/>
      <c r="Z78"/>
      <c r="AA78"/>
    </row>
    <row r="79" spans="1:27" ht="79.900000000000006" customHeight="1">
      <c r="A79" s="25"/>
      <c r="B79" s="103">
        <v>427</v>
      </c>
      <c r="C79" s="104" t="s">
        <v>184</v>
      </c>
      <c r="D79" s="105" t="s">
        <v>9</v>
      </c>
      <c r="E79" s="325" t="s">
        <v>179</v>
      </c>
      <c r="F79" s="326"/>
      <c r="G79" s="44">
        <f>G12*5052.255206592</f>
        <v>5052.2552065919999</v>
      </c>
      <c r="H79" s="44">
        <f>G12*14.6277855177143</f>
        <v>14.627785517714299</v>
      </c>
      <c r="I79"/>
      <c r="K79"/>
      <c r="L79"/>
      <c r="M79"/>
      <c r="N79"/>
      <c r="O79"/>
      <c r="P79"/>
      <c r="Q79"/>
      <c r="R79"/>
      <c r="S79"/>
      <c r="T79"/>
      <c r="U79"/>
      <c r="V79"/>
      <c r="W79"/>
      <c r="X79"/>
      <c r="Y79"/>
      <c r="Z79"/>
      <c r="AA79"/>
    </row>
    <row r="80" spans="1:27" ht="51" customHeight="1">
      <c r="A80" s="25"/>
      <c r="B80" s="103">
        <v>428</v>
      </c>
      <c r="C80" s="104" t="s">
        <v>185</v>
      </c>
      <c r="D80" s="105" t="s">
        <v>9</v>
      </c>
      <c r="E80" s="325" t="s">
        <v>188</v>
      </c>
      <c r="F80" s="326"/>
      <c r="G80" s="44">
        <f>G12*347.0311936</f>
        <v>347.03119359999999</v>
      </c>
      <c r="H80" s="44">
        <f>G12*0</f>
        <v>0</v>
      </c>
      <c r="I80"/>
      <c r="K80"/>
      <c r="L80"/>
      <c r="M80"/>
      <c r="N80"/>
      <c r="O80"/>
      <c r="P80"/>
      <c r="Q80"/>
      <c r="R80"/>
      <c r="S80"/>
      <c r="T80"/>
      <c r="U80"/>
      <c r="V80"/>
      <c r="W80"/>
      <c r="X80"/>
      <c r="Y80"/>
      <c r="Z80"/>
      <c r="AA80"/>
    </row>
    <row r="81" spans="1:27" ht="58.9" customHeight="1">
      <c r="A81" s="25"/>
      <c r="B81" s="103">
        <v>429</v>
      </c>
      <c r="C81" s="42" t="s">
        <v>186</v>
      </c>
      <c r="D81" s="43" t="s">
        <v>124</v>
      </c>
      <c r="E81" s="325" t="s">
        <v>125</v>
      </c>
      <c r="F81" s="326"/>
      <c r="G81" s="44">
        <f>G12*1399.3074368</f>
        <v>1399.3074368</v>
      </c>
      <c r="H81" s="44">
        <f>G12*0</f>
        <v>0</v>
      </c>
      <c r="I81"/>
      <c r="K81"/>
      <c r="L81"/>
      <c r="M81"/>
      <c r="N81"/>
      <c r="O81"/>
      <c r="P81"/>
      <c r="Q81"/>
      <c r="R81"/>
      <c r="S81"/>
      <c r="T81"/>
      <c r="U81"/>
      <c r="V81"/>
      <c r="W81"/>
      <c r="X81"/>
      <c r="Y81"/>
      <c r="Z81"/>
      <c r="AA81"/>
    </row>
    <row r="82" spans="1:27" ht="38.450000000000003" customHeight="1">
      <c r="A82" s="25"/>
      <c r="B82" s="103">
        <v>430</v>
      </c>
      <c r="C82" s="104" t="s">
        <v>187</v>
      </c>
      <c r="D82" s="43" t="s">
        <v>9</v>
      </c>
      <c r="E82" s="325" t="s">
        <v>189</v>
      </c>
      <c r="F82" s="326"/>
      <c r="G82" s="44">
        <f>G12*800.40037792</f>
        <v>800.40037791999998</v>
      </c>
      <c r="H82" s="44">
        <f>G12*0</f>
        <v>0</v>
      </c>
      <c r="I82"/>
      <c r="K82"/>
      <c r="L82"/>
      <c r="M82"/>
      <c r="N82"/>
      <c r="O82"/>
      <c r="P82"/>
      <c r="Q82"/>
      <c r="R82"/>
      <c r="S82"/>
      <c r="T82"/>
      <c r="U82"/>
      <c r="V82"/>
      <c r="W82"/>
      <c r="X82"/>
      <c r="Y82"/>
      <c r="Z82"/>
      <c r="AA82"/>
    </row>
    <row r="83" spans="1:27" ht="31.15" customHeight="1">
      <c r="A83" s="25"/>
      <c r="B83" s="103">
        <v>433</v>
      </c>
      <c r="C83" s="104" t="s">
        <v>191</v>
      </c>
      <c r="D83" s="43" t="s">
        <v>18</v>
      </c>
      <c r="E83" s="325" t="s">
        <v>190</v>
      </c>
      <c r="F83" s="326"/>
      <c r="G83" s="44">
        <f>G12*584.91205344</f>
        <v>584.91205344000002</v>
      </c>
      <c r="H83" s="44">
        <f>G12*58.491205344</f>
        <v>58.491205344000001</v>
      </c>
      <c r="I83"/>
      <c r="K83"/>
      <c r="L83"/>
      <c r="M83"/>
      <c r="N83"/>
      <c r="O83"/>
      <c r="P83"/>
      <c r="Q83"/>
      <c r="R83"/>
      <c r="S83"/>
      <c r="T83"/>
      <c r="U83"/>
      <c r="V83"/>
      <c r="W83"/>
      <c r="X83"/>
      <c r="Y83"/>
      <c r="Z83"/>
      <c r="AA83"/>
    </row>
    <row r="84" spans="1:27" ht="30" customHeight="1">
      <c r="A84" s="25"/>
      <c r="B84" s="103">
        <v>439</v>
      </c>
      <c r="C84" s="104" t="s">
        <v>192</v>
      </c>
      <c r="D84" s="43" t="s">
        <v>9</v>
      </c>
      <c r="E84" s="327" t="s">
        <v>180</v>
      </c>
      <c r="F84" s="328"/>
      <c r="G84" s="44">
        <f>G12*641.3441216</f>
        <v>641.34412159999999</v>
      </c>
      <c r="H84" s="44">
        <f>G12*0</f>
        <v>0</v>
      </c>
      <c r="I84"/>
      <c r="K84"/>
      <c r="L84"/>
      <c r="M84"/>
      <c r="N84"/>
      <c r="O84"/>
      <c r="P84"/>
      <c r="Q84"/>
      <c r="R84"/>
      <c r="S84"/>
      <c r="T84"/>
      <c r="U84"/>
      <c r="V84"/>
      <c r="W84"/>
      <c r="X84"/>
      <c r="Y84"/>
      <c r="Z84"/>
      <c r="AA84"/>
    </row>
    <row r="85" spans="1:27" ht="51" customHeight="1">
      <c r="A85" s="25"/>
      <c r="B85" s="103">
        <v>450</v>
      </c>
      <c r="C85" s="42" t="s">
        <v>195</v>
      </c>
      <c r="D85" s="43" t="s">
        <v>9</v>
      </c>
      <c r="E85" s="327" t="s">
        <v>194</v>
      </c>
      <c r="F85" s="328"/>
      <c r="G85" s="44">
        <f>G12*2781.824</f>
        <v>2781.8240000000001</v>
      </c>
      <c r="H85" s="44">
        <f>G12*0</f>
        <v>0</v>
      </c>
      <c r="I85"/>
      <c r="K85"/>
      <c r="L85"/>
      <c r="M85"/>
      <c r="N85"/>
      <c r="O85"/>
      <c r="P85"/>
      <c r="Q85"/>
      <c r="R85"/>
      <c r="S85"/>
      <c r="T85"/>
      <c r="U85"/>
      <c r="V85"/>
      <c r="W85"/>
      <c r="X85"/>
      <c r="Y85"/>
    </row>
    <row r="86" spans="1:27" ht="114" customHeight="1">
      <c r="A86" s="25"/>
      <c r="B86" s="103">
        <v>454</v>
      </c>
      <c r="C86" s="42" t="s">
        <v>256</v>
      </c>
      <c r="D86" s="43" t="s">
        <v>131</v>
      </c>
      <c r="E86" s="329" t="s">
        <v>196</v>
      </c>
      <c r="F86" s="330"/>
      <c r="G86" s="44">
        <f>G12*9790.4</f>
        <v>9790.4</v>
      </c>
      <c r="H86" s="44">
        <f>G12*9790.4</f>
        <v>9790.4</v>
      </c>
      <c r="I86"/>
      <c r="K86"/>
      <c r="L86"/>
      <c r="M86"/>
      <c r="N86"/>
      <c r="O86"/>
      <c r="P86"/>
      <c r="Q86"/>
      <c r="R86"/>
      <c r="S86"/>
      <c r="T86"/>
      <c r="U86"/>
      <c r="V86"/>
      <c r="W86"/>
      <c r="X86"/>
      <c r="Y86"/>
    </row>
    <row r="87" spans="1:27" ht="15">
      <c r="A87" s="170"/>
      <c r="B87" s="171"/>
      <c r="C87" s="171"/>
      <c r="D87" s="171"/>
      <c r="E87" s="171"/>
      <c r="F87" s="171"/>
      <c r="G87" s="171"/>
      <c r="H87" s="172"/>
      <c r="I87"/>
      <c r="K87"/>
      <c r="L87"/>
      <c r="M87"/>
      <c r="N87"/>
      <c r="O87"/>
      <c r="P87"/>
      <c r="Q87"/>
      <c r="R87"/>
      <c r="S87"/>
      <c r="T87"/>
      <c r="U87"/>
      <c r="V87"/>
      <c r="W87"/>
      <c r="X87"/>
      <c r="Y87"/>
    </row>
    <row r="88" spans="1:27" ht="15" customHeight="1" thickBot="1">
      <c r="A88" s="200"/>
      <c r="B88" s="200"/>
      <c r="C88" s="200"/>
      <c r="D88" s="200"/>
      <c r="E88" s="200"/>
      <c r="F88" s="200"/>
      <c r="G88" s="200"/>
      <c r="H88" s="201"/>
      <c r="I88"/>
      <c r="K88"/>
      <c r="L88"/>
      <c r="M88"/>
      <c r="N88"/>
      <c r="O88"/>
      <c r="P88"/>
      <c r="Q88"/>
      <c r="R88"/>
      <c r="S88"/>
      <c r="T88"/>
      <c r="U88"/>
      <c r="V88"/>
      <c r="W88"/>
      <c r="X88"/>
      <c r="Y88"/>
    </row>
    <row r="89" spans="1:27" ht="17.25" customHeight="1" thickTop="1">
      <c r="A89" s="207" t="s">
        <v>88</v>
      </c>
      <c r="B89" s="208"/>
      <c r="C89" s="208"/>
      <c r="D89" s="208"/>
      <c r="E89" s="208"/>
      <c r="F89" s="209"/>
      <c r="G89" s="271" t="s">
        <v>99</v>
      </c>
      <c r="H89" s="272"/>
      <c r="I89"/>
      <c r="K89"/>
      <c r="L89"/>
      <c r="M89"/>
      <c r="N89"/>
      <c r="O89"/>
      <c r="P89"/>
      <c r="Q89"/>
      <c r="R89"/>
      <c r="S89"/>
      <c r="T89"/>
      <c r="U89"/>
      <c r="V89"/>
      <c r="W89"/>
      <c r="X89"/>
      <c r="Y89"/>
    </row>
    <row r="90" spans="1:27" ht="15.75" customHeight="1" thickBot="1">
      <c r="A90" s="210"/>
      <c r="B90" s="211"/>
      <c r="C90" s="211"/>
      <c r="D90" s="211"/>
      <c r="E90" s="211"/>
      <c r="F90" s="212"/>
      <c r="G90" s="334">
        <v>1</v>
      </c>
      <c r="H90" s="335"/>
      <c r="I90"/>
      <c r="K90"/>
      <c r="L90"/>
      <c r="M90"/>
      <c r="N90"/>
      <c r="O90"/>
      <c r="P90"/>
      <c r="Q90"/>
      <c r="R90"/>
      <c r="S90"/>
      <c r="T90"/>
      <c r="U90"/>
      <c r="V90"/>
      <c r="W90"/>
      <c r="X90"/>
      <c r="Y90"/>
    </row>
    <row r="91" spans="1:27" ht="49.15" customHeight="1" thickTop="1">
      <c r="A91" s="213"/>
      <c r="B91" s="57">
        <v>900</v>
      </c>
      <c r="C91" s="58" t="s">
        <v>137</v>
      </c>
      <c r="D91" s="59" t="s">
        <v>10</v>
      </c>
      <c r="E91" s="202" t="s">
        <v>138</v>
      </c>
      <c r="F91" s="202"/>
      <c r="G91" s="60"/>
      <c r="H91" s="61"/>
      <c r="I91"/>
      <c r="K91"/>
      <c r="L91"/>
      <c r="M91"/>
      <c r="N91"/>
      <c r="O91"/>
      <c r="P91"/>
      <c r="Q91"/>
      <c r="R91"/>
      <c r="S91"/>
      <c r="T91"/>
      <c r="U91"/>
      <c r="V91"/>
      <c r="W91"/>
      <c r="X91"/>
      <c r="Y91"/>
    </row>
    <row r="92" spans="1:27" ht="15" customHeight="1">
      <c r="A92" s="213"/>
      <c r="B92" s="115" t="s">
        <v>64</v>
      </c>
      <c r="C92" s="62" t="s">
        <v>11</v>
      </c>
      <c r="D92" s="63"/>
      <c r="E92" s="203"/>
      <c r="F92" s="203"/>
      <c r="G92" s="55">
        <f>G12*1252.22592</f>
        <v>1252.2259200000001</v>
      </c>
      <c r="H92" s="56">
        <f>G12*137.7448512</f>
        <v>137.7448512</v>
      </c>
      <c r="I92"/>
      <c r="K92"/>
      <c r="L92"/>
      <c r="M92"/>
      <c r="N92"/>
      <c r="O92"/>
      <c r="P92"/>
      <c r="Q92"/>
      <c r="R92"/>
      <c r="S92"/>
      <c r="T92"/>
      <c r="U92"/>
      <c r="V92"/>
      <c r="W92"/>
      <c r="X92"/>
      <c r="Y92"/>
    </row>
    <row r="93" spans="1:27" ht="15" customHeight="1">
      <c r="A93" s="213"/>
      <c r="B93" s="115" t="s">
        <v>65</v>
      </c>
      <c r="C93" s="62" t="s">
        <v>12</v>
      </c>
      <c r="D93" s="63"/>
      <c r="E93" s="203"/>
      <c r="F93" s="203"/>
      <c r="G93" s="55">
        <f>G12*1532.97408</f>
        <v>1532.97408</v>
      </c>
      <c r="H93" s="56">
        <f>G12*168.6271488</f>
        <v>168.62714879999999</v>
      </c>
      <c r="I93"/>
      <c r="K93"/>
      <c r="L93"/>
      <c r="M93"/>
      <c r="N93"/>
      <c r="O93"/>
      <c r="P93"/>
      <c r="Q93"/>
      <c r="R93"/>
      <c r="S93"/>
      <c r="T93"/>
      <c r="U93"/>
      <c r="V93"/>
      <c r="W93"/>
      <c r="X93"/>
      <c r="Y93"/>
    </row>
    <row r="94" spans="1:27" ht="49.9" customHeight="1">
      <c r="A94" s="213"/>
      <c r="B94" s="64">
        <v>901</v>
      </c>
      <c r="C94" s="65" t="s">
        <v>139</v>
      </c>
      <c r="D94" s="66" t="s">
        <v>10</v>
      </c>
      <c r="E94" s="204" t="s">
        <v>140</v>
      </c>
      <c r="F94" s="204"/>
      <c r="G94" s="49"/>
      <c r="H94" s="67"/>
      <c r="I94"/>
      <c r="K94"/>
      <c r="L94"/>
      <c r="M94"/>
      <c r="N94"/>
      <c r="O94"/>
      <c r="P94"/>
      <c r="Q94"/>
      <c r="R94"/>
      <c r="S94"/>
      <c r="T94"/>
      <c r="U94"/>
      <c r="V94"/>
      <c r="W94"/>
      <c r="X94"/>
      <c r="Y94"/>
    </row>
    <row r="95" spans="1:27" ht="15" customHeight="1">
      <c r="A95" s="213"/>
      <c r="B95" s="115" t="s">
        <v>66</v>
      </c>
      <c r="C95" s="62" t="s">
        <v>11</v>
      </c>
      <c r="D95" s="63"/>
      <c r="E95" s="203"/>
      <c r="F95" s="203"/>
      <c r="G95" s="55">
        <f>G12*1725.33856</f>
        <v>1725.3385599999999</v>
      </c>
      <c r="H95" s="56">
        <f>G12*189.7872416</f>
        <v>189.78724159999999</v>
      </c>
      <c r="I95"/>
      <c r="K95"/>
      <c r="L95"/>
      <c r="M95"/>
      <c r="N95"/>
      <c r="O95"/>
      <c r="P95"/>
      <c r="Q95"/>
      <c r="R95"/>
      <c r="S95"/>
      <c r="T95"/>
      <c r="U95"/>
      <c r="V95"/>
      <c r="W95"/>
      <c r="X95"/>
      <c r="Y95"/>
    </row>
    <row r="96" spans="1:27" ht="15" customHeight="1">
      <c r="A96" s="213"/>
      <c r="B96" s="115" t="s">
        <v>68</v>
      </c>
      <c r="C96" s="62" t="s">
        <v>12</v>
      </c>
      <c r="D96" s="63"/>
      <c r="E96" s="203"/>
      <c r="F96" s="203"/>
      <c r="G96" s="55">
        <f>G12*2086.30048</f>
        <v>2086.3004799999999</v>
      </c>
      <c r="H96" s="56">
        <f>G12*229.4930528</f>
        <v>229.49305279999999</v>
      </c>
      <c r="I96"/>
      <c r="K96"/>
      <c r="L96"/>
      <c r="M96"/>
      <c r="N96"/>
      <c r="O96"/>
      <c r="P96"/>
      <c r="Q96"/>
      <c r="R96"/>
      <c r="S96"/>
      <c r="T96"/>
      <c r="U96"/>
      <c r="V96"/>
      <c r="W96"/>
      <c r="X96"/>
      <c r="Y96"/>
    </row>
    <row r="97" spans="1:27" ht="15" customHeight="1">
      <c r="A97" s="213"/>
      <c r="B97" s="64">
        <v>902</v>
      </c>
      <c r="C97" s="68" t="s">
        <v>13</v>
      </c>
      <c r="D97" s="36"/>
      <c r="E97" s="205"/>
      <c r="F97" s="206"/>
      <c r="G97" s="49"/>
      <c r="H97" s="50"/>
      <c r="I97"/>
      <c r="K97"/>
      <c r="L97"/>
      <c r="M97"/>
      <c r="N97"/>
      <c r="O97"/>
      <c r="P97"/>
      <c r="Q97"/>
      <c r="R97"/>
      <c r="S97"/>
      <c r="T97"/>
      <c r="U97"/>
      <c r="V97"/>
      <c r="W97"/>
      <c r="X97"/>
      <c r="Y97"/>
    </row>
    <row r="98" spans="1:27" ht="52.9" customHeight="1">
      <c r="A98" s="213"/>
      <c r="B98" s="116" t="s">
        <v>69</v>
      </c>
      <c r="C98" s="69" t="s">
        <v>14</v>
      </c>
      <c r="D98" s="63" t="s">
        <v>15</v>
      </c>
      <c r="E98" s="199" t="s">
        <v>141</v>
      </c>
      <c r="F98" s="199"/>
      <c r="G98" s="55">
        <f>G12*157.411484701538</f>
        <v>157.411484701538</v>
      </c>
      <c r="H98" s="56">
        <f>G12*17.3152633171692</f>
        <v>17.315263317169201</v>
      </c>
      <c r="I98"/>
      <c r="K98"/>
      <c r="L98"/>
      <c r="M98"/>
      <c r="N98"/>
      <c r="O98"/>
      <c r="P98"/>
      <c r="Q98"/>
      <c r="R98"/>
      <c r="S98"/>
      <c r="T98"/>
      <c r="U98"/>
      <c r="V98"/>
      <c r="W98"/>
      <c r="X98"/>
      <c r="Y98"/>
    </row>
    <row r="99" spans="1:27" ht="60" customHeight="1">
      <c r="A99" s="213"/>
      <c r="B99" s="116" t="s">
        <v>70</v>
      </c>
      <c r="C99" s="62" t="s">
        <v>142</v>
      </c>
      <c r="D99" s="63" t="s">
        <v>15</v>
      </c>
      <c r="E99" s="169" t="s">
        <v>143</v>
      </c>
      <c r="F99" s="169"/>
      <c r="G99" s="55">
        <f>G12*616.05981014</f>
        <v>616.05981013999997</v>
      </c>
      <c r="H99" s="56">
        <f>G12*67.7665791154</f>
        <v>67.766579115400006</v>
      </c>
      <c r="I99"/>
      <c r="K99"/>
      <c r="L99"/>
      <c r="M99"/>
      <c r="N99"/>
      <c r="O99"/>
      <c r="P99"/>
      <c r="Q99"/>
      <c r="R99"/>
      <c r="S99"/>
      <c r="T99"/>
      <c r="U99"/>
      <c r="V99"/>
      <c r="W99"/>
      <c r="X99"/>
      <c r="Y99"/>
    </row>
    <row r="100" spans="1:27" ht="55.9" customHeight="1">
      <c r="A100" s="213"/>
      <c r="B100" s="116" t="s">
        <v>71</v>
      </c>
      <c r="C100" s="62" t="s">
        <v>144</v>
      </c>
      <c r="D100" s="63" t="s">
        <v>15</v>
      </c>
      <c r="E100" s="169" t="s">
        <v>145</v>
      </c>
      <c r="F100" s="169"/>
      <c r="G100" s="55">
        <f>G12*1364.10671192</f>
        <v>1364.10671192</v>
      </c>
      <c r="H100" s="56">
        <f>G12*150.0517383112</f>
        <v>150.05173831120001</v>
      </c>
      <c r="I100"/>
      <c r="K100"/>
      <c r="L100"/>
      <c r="M100"/>
      <c r="N100"/>
      <c r="O100"/>
      <c r="P100"/>
      <c r="Q100"/>
      <c r="R100"/>
      <c r="S100"/>
      <c r="T100"/>
      <c r="U100"/>
      <c r="V100"/>
      <c r="W100"/>
      <c r="X100"/>
      <c r="Y100"/>
    </row>
    <row r="101" spans="1:27" ht="51" customHeight="1">
      <c r="A101" s="213"/>
      <c r="B101" s="116" t="s">
        <v>72</v>
      </c>
      <c r="C101" s="62" t="s">
        <v>146</v>
      </c>
      <c r="D101" s="63" t="s">
        <v>15</v>
      </c>
      <c r="E101" s="169" t="s">
        <v>147</v>
      </c>
      <c r="F101" s="169"/>
      <c r="G101" s="55">
        <f>G12*455.0848</f>
        <v>455.08479999999997</v>
      </c>
      <c r="H101" s="56">
        <f>G12*43.888</f>
        <v>43.887999999999998</v>
      </c>
      <c r="I101"/>
      <c r="K101"/>
      <c r="L101"/>
      <c r="M101"/>
      <c r="N101"/>
      <c r="O101"/>
      <c r="P101"/>
      <c r="Q101"/>
      <c r="R101"/>
      <c r="S101"/>
      <c r="T101"/>
      <c r="U101"/>
      <c r="V101"/>
      <c r="W101"/>
      <c r="X101"/>
      <c r="Y101"/>
    </row>
    <row r="102" spans="1:27" ht="53.45" customHeight="1">
      <c r="A102" s="213"/>
      <c r="B102" s="116" t="s">
        <v>73</v>
      </c>
      <c r="C102" s="62" t="s">
        <v>148</v>
      </c>
      <c r="D102" s="63" t="s">
        <v>15</v>
      </c>
      <c r="E102" s="169" t="s">
        <v>149</v>
      </c>
      <c r="F102" s="169"/>
      <c r="G102" s="55">
        <f>G12*82.712</f>
        <v>82.712000000000003</v>
      </c>
      <c r="H102" s="56">
        <f>G12*8.1024</f>
        <v>8.1023999999999994</v>
      </c>
      <c r="I102"/>
      <c r="K102"/>
      <c r="L102"/>
      <c r="M102"/>
      <c r="N102"/>
      <c r="O102"/>
      <c r="P102"/>
      <c r="Q102"/>
      <c r="R102"/>
      <c r="S102"/>
      <c r="T102"/>
      <c r="U102"/>
      <c r="V102"/>
      <c r="W102"/>
      <c r="X102"/>
      <c r="Y102"/>
    </row>
    <row r="103" spans="1:27" ht="43.9" customHeight="1">
      <c r="A103" s="213"/>
      <c r="B103" s="64">
        <v>903</v>
      </c>
      <c r="C103" s="70" t="s">
        <v>150</v>
      </c>
      <c r="D103" s="53" t="s">
        <v>16</v>
      </c>
      <c r="E103" s="204" t="s">
        <v>151</v>
      </c>
      <c r="F103" s="204"/>
      <c r="G103" s="49"/>
      <c r="H103" s="50"/>
      <c r="I103"/>
      <c r="K103"/>
      <c r="L103"/>
      <c r="M103"/>
      <c r="N103"/>
      <c r="O103"/>
      <c r="P103"/>
      <c r="Q103"/>
      <c r="R103"/>
      <c r="S103"/>
      <c r="T103"/>
      <c r="U103"/>
      <c r="V103"/>
      <c r="W103"/>
      <c r="X103"/>
      <c r="Y103"/>
    </row>
    <row r="104" spans="1:27" ht="23.25" customHeight="1">
      <c r="A104" s="213"/>
      <c r="B104" s="117" t="s">
        <v>74</v>
      </c>
      <c r="C104" s="62" t="s">
        <v>11</v>
      </c>
      <c r="D104" s="63" t="s">
        <v>16</v>
      </c>
      <c r="E104" s="203"/>
      <c r="F104" s="203"/>
      <c r="G104" s="55">
        <f>G12*883.09408</f>
        <v>883.09407999999996</v>
      </c>
      <c r="H104" s="56">
        <f>G12*97.1403488</f>
        <v>97.140348799999998</v>
      </c>
      <c r="I104"/>
      <c r="K104"/>
      <c r="L104"/>
      <c r="M104"/>
      <c r="N104"/>
      <c r="O104"/>
      <c r="P104"/>
      <c r="Q104"/>
      <c r="R104"/>
      <c r="S104"/>
      <c r="T104"/>
      <c r="U104"/>
      <c r="V104"/>
      <c r="W104"/>
      <c r="X104"/>
      <c r="Y104"/>
    </row>
    <row r="105" spans="1:27" ht="25.5" customHeight="1">
      <c r="A105" s="213"/>
      <c r="B105" s="117" t="s">
        <v>67</v>
      </c>
      <c r="C105" s="62" t="s">
        <v>12</v>
      </c>
      <c r="D105" s="63" t="s">
        <v>16</v>
      </c>
      <c r="E105" s="203"/>
      <c r="F105" s="203"/>
      <c r="G105" s="55">
        <f>G12*1003.41472</f>
        <v>1003.41472</v>
      </c>
      <c r="H105" s="56">
        <f>G12*110.3756192</f>
        <v>110.3756192</v>
      </c>
      <c r="I105"/>
      <c r="K105"/>
      <c r="L105"/>
      <c r="M105"/>
      <c r="N105"/>
      <c r="O105"/>
      <c r="P105"/>
      <c r="Q105"/>
      <c r="R105"/>
      <c r="S105"/>
      <c r="T105"/>
      <c r="U105"/>
      <c r="V105"/>
      <c r="W105"/>
      <c r="X105"/>
      <c r="Y105"/>
    </row>
    <row r="106" spans="1:27" ht="145.5" customHeight="1">
      <c r="A106" s="213"/>
      <c r="B106" s="71">
        <v>904</v>
      </c>
      <c r="C106" s="72" t="s">
        <v>245</v>
      </c>
      <c r="D106" s="48" t="s">
        <v>9</v>
      </c>
      <c r="E106" s="198" t="s">
        <v>152</v>
      </c>
      <c r="F106" s="198"/>
      <c r="G106" s="49">
        <f>G12*14651.84</f>
        <v>14651.84</v>
      </c>
      <c r="H106" s="50">
        <f>G12*1611.7024</f>
        <v>1611.7023999999999</v>
      </c>
      <c r="I106"/>
      <c r="K106"/>
      <c r="L106"/>
      <c r="M106"/>
      <c r="N106"/>
      <c r="O106"/>
      <c r="P106"/>
      <c r="Q106"/>
      <c r="R106"/>
      <c r="S106"/>
      <c r="T106"/>
      <c r="U106"/>
      <c r="V106"/>
      <c r="W106"/>
      <c r="X106"/>
      <c r="Y106"/>
    </row>
    <row r="107" spans="1:27" ht="126" customHeight="1">
      <c r="A107" s="213"/>
      <c r="B107" s="118" t="s">
        <v>79</v>
      </c>
      <c r="C107" s="73" t="s">
        <v>244</v>
      </c>
      <c r="D107" s="74" t="s">
        <v>9</v>
      </c>
      <c r="E107" s="199" t="s">
        <v>153</v>
      </c>
      <c r="F107" s="199"/>
      <c r="G107" s="55">
        <f>G12*14100.8768</f>
        <v>14100.8768</v>
      </c>
      <c r="H107" s="56">
        <f>G12*1551.096448</f>
        <v>1551.096448</v>
      </c>
      <c r="I107"/>
      <c r="K107"/>
      <c r="L107"/>
      <c r="M107"/>
      <c r="N107"/>
      <c r="O107"/>
      <c r="P107"/>
      <c r="Q107"/>
      <c r="R107"/>
      <c r="S107"/>
      <c r="T107"/>
      <c r="U107"/>
      <c r="V107"/>
      <c r="W107"/>
      <c r="X107"/>
      <c r="Y107"/>
      <c r="Z107"/>
    </row>
    <row r="108" spans="1:27" ht="270" customHeight="1">
      <c r="A108" s="213"/>
      <c r="B108" s="75" t="s">
        <v>80</v>
      </c>
      <c r="C108" s="76" t="s">
        <v>154</v>
      </c>
      <c r="D108" s="10" t="s">
        <v>35</v>
      </c>
      <c r="E108" s="336" t="s">
        <v>155</v>
      </c>
      <c r="F108" s="337"/>
      <c r="G108" s="49">
        <f>G12*1313264</f>
        <v>1313264</v>
      </c>
      <c r="H108" s="50">
        <f>G12*144459.04</f>
        <v>144459.04</v>
      </c>
      <c r="I108"/>
      <c r="K108"/>
      <c r="L108"/>
      <c r="M108"/>
      <c r="N108"/>
      <c r="O108"/>
      <c r="P108"/>
      <c r="Q108"/>
      <c r="R108"/>
      <c r="S108"/>
      <c r="T108"/>
      <c r="U108"/>
      <c r="V108"/>
      <c r="W108"/>
      <c r="X108"/>
      <c r="Y108"/>
      <c r="Z108"/>
    </row>
    <row r="109" spans="1:27" ht="116.45" customHeight="1">
      <c r="A109" s="213"/>
      <c r="B109" s="51">
        <v>906</v>
      </c>
      <c r="C109" s="77" t="s">
        <v>156</v>
      </c>
      <c r="D109" s="9" t="s">
        <v>38</v>
      </c>
      <c r="E109" s="338" t="s">
        <v>157</v>
      </c>
      <c r="F109" s="338"/>
      <c r="G109" s="49">
        <f>G12*508623.642912</f>
        <v>508623.64291200001</v>
      </c>
      <c r="H109" s="50">
        <f>G12*66121.073376</f>
        <v>66121.073376</v>
      </c>
      <c r="I109"/>
      <c r="K109"/>
      <c r="L109"/>
      <c r="M109"/>
      <c r="N109"/>
      <c r="O109"/>
      <c r="P109"/>
      <c r="Q109"/>
      <c r="R109"/>
      <c r="S109"/>
      <c r="T109"/>
      <c r="U109"/>
      <c r="V109"/>
      <c r="W109"/>
      <c r="X109"/>
      <c r="Y109"/>
      <c r="Z109"/>
      <c r="AA109"/>
    </row>
    <row r="110" spans="1:27" ht="90.6" customHeight="1">
      <c r="A110" s="213"/>
      <c r="B110" s="51">
        <v>907</v>
      </c>
      <c r="C110" s="78" t="s">
        <v>158</v>
      </c>
      <c r="D110" s="9" t="s">
        <v>38</v>
      </c>
      <c r="E110" s="197" t="s">
        <v>159</v>
      </c>
      <c r="F110" s="197"/>
      <c r="G110" s="49">
        <f>G12*1105936.48032</f>
        <v>1105936.4803200001</v>
      </c>
      <c r="H110" s="50">
        <f>G12*55296.827392</f>
        <v>55296.827391999999</v>
      </c>
      <c r="I110"/>
      <c r="K110"/>
      <c r="L110"/>
      <c r="M110"/>
      <c r="N110"/>
      <c r="O110"/>
      <c r="P110"/>
      <c r="Q110"/>
      <c r="R110"/>
      <c r="S110"/>
      <c r="T110"/>
      <c r="U110"/>
      <c r="V110"/>
      <c r="W110"/>
      <c r="X110"/>
      <c r="Y110"/>
      <c r="Z110"/>
      <c r="AA110"/>
    </row>
    <row r="111" spans="1:27" ht="92.45" customHeight="1">
      <c r="A111" s="213"/>
      <c r="B111" s="46">
        <v>908</v>
      </c>
      <c r="C111" s="47" t="s">
        <v>160</v>
      </c>
      <c r="D111" s="48" t="s">
        <v>5</v>
      </c>
      <c r="E111" s="186" t="s">
        <v>161</v>
      </c>
      <c r="F111" s="187"/>
      <c r="G111" s="49">
        <f>G12*30642.6016</f>
        <v>30642.601600000002</v>
      </c>
      <c r="H111" s="50">
        <f>G12*3370.5984</f>
        <v>3370.5983999999999</v>
      </c>
      <c r="I111"/>
      <c r="K111"/>
      <c r="L111"/>
      <c r="M111"/>
      <c r="N111"/>
      <c r="O111"/>
      <c r="P111"/>
      <c r="Q111"/>
      <c r="R111"/>
      <c r="S111"/>
      <c r="T111"/>
      <c r="U111"/>
      <c r="V111"/>
      <c r="W111"/>
      <c r="X111"/>
      <c r="Y111"/>
      <c r="Z111"/>
      <c r="AA111"/>
    </row>
    <row r="112" spans="1:27" ht="114.6" customHeight="1">
      <c r="A112" s="213"/>
      <c r="B112" s="119" t="s">
        <v>81</v>
      </c>
      <c r="C112" s="79" t="s">
        <v>101</v>
      </c>
      <c r="D112" s="153" t="s">
        <v>31</v>
      </c>
      <c r="E112" s="184" t="s">
        <v>162</v>
      </c>
      <c r="F112" s="185"/>
      <c r="G112" s="55">
        <f>G12*20722.9008</f>
        <v>20722.900799999999</v>
      </c>
      <c r="H112" s="56">
        <f>G12*2093.12</f>
        <v>2093.12</v>
      </c>
      <c r="I112"/>
      <c r="K112"/>
      <c r="L112"/>
      <c r="M112"/>
      <c r="N112"/>
      <c r="O112"/>
      <c r="P112"/>
      <c r="Q112"/>
      <c r="R112"/>
      <c r="S112"/>
      <c r="T112"/>
      <c r="U112"/>
      <c r="V112"/>
      <c r="W112"/>
      <c r="X112"/>
      <c r="Y112"/>
      <c r="Z112"/>
      <c r="AA112"/>
    </row>
    <row r="113" spans="1:27" ht="91.9" customHeight="1">
      <c r="A113" s="213"/>
      <c r="B113" s="119" t="s">
        <v>130</v>
      </c>
      <c r="C113" s="79" t="s">
        <v>164</v>
      </c>
      <c r="D113" s="80" t="s">
        <v>6</v>
      </c>
      <c r="E113" s="184" t="s">
        <v>163</v>
      </c>
      <c r="F113" s="185"/>
      <c r="G113" s="55">
        <f>G12*10128</f>
        <v>10128</v>
      </c>
      <c r="H113" s="56">
        <f>G12*1215.36</f>
        <v>1215.3599999999999</v>
      </c>
      <c r="I113"/>
      <c r="K113"/>
      <c r="L113"/>
      <c r="M113"/>
      <c r="N113"/>
      <c r="O113"/>
      <c r="P113"/>
      <c r="Q113"/>
      <c r="R113"/>
      <c r="S113"/>
      <c r="T113"/>
      <c r="U113"/>
      <c r="V113"/>
      <c r="W113"/>
      <c r="X113"/>
      <c r="Y113"/>
      <c r="Z113"/>
      <c r="AA113"/>
    </row>
    <row r="114" spans="1:27" ht="66.599999999999994" customHeight="1">
      <c r="A114" s="213"/>
      <c r="B114" s="46">
        <v>909</v>
      </c>
      <c r="C114" s="47" t="s">
        <v>135</v>
      </c>
      <c r="D114" s="48" t="s">
        <v>6</v>
      </c>
      <c r="E114" s="186" t="s">
        <v>136</v>
      </c>
      <c r="F114" s="187"/>
      <c r="G114" s="49"/>
      <c r="H114" s="50"/>
      <c r="I114"/>
      <c r="K114"/>
      <c r="L114"/>
      <c r="M114"/>
      <c r="N114"/>
      <c r="O114"/>
      <c r="P114"/>
      <c r="Q114"/>
      <c r="R114"/>
      <c r="S114"/>
      <c r="T114"/>
      <c r="U114"/>
      <c r="V114"/>
      <c r="W114"/>
      <c r="X114"/>
      <c r="Y114"/>
      <c r="Z114"/>
      <c r="AA114"/>
    </row>
    <row r="115" spans="1:27" ht="24.75" customHeight="1">
      <c r="A115" s="213"/>
      <c r="B115" s="120" t="s">
        <v>82</v>
      </c>
      <c r="C115" s="54" t="s">
        <v>42</v>
      </c>
      <c r="D115" s="152" t="s">
        <v>7</v>
      </c>
      <c r="E115" s="188"/>
      <c r="F115" s="189"/>
      <c r="G115" s="55">
        <f>G12*37277.457776</f>
        <v>37277.457776000003</v>
      </c>
      <c r="H115" s="56">
        <f>G12*4473.29493312</f>
        <v>4473.2949331199998</v>
      </c>
      <c r="I115"/>
      <c r="K115"/>
      <c r="L115"/>
      <c r="M115"/>
      <c r="N115"/>
      <c r="O115"/>
      <c r="P115"/>
      <c r="Q115"/>
      <c r="R115"/>
      <c r="S115"/>
      <c r="T115"/>
      <c r="U115"/>
      <c r="V115"/>
      <c r="W115"/>
      <c r="X115"/>
      <c r="Y115"/>
      <c r="Z115"/>
      <c r="AA115"/>
    </row>
    <row r="116" spans="1:27" ht="27" customHeight="1">
      <c r="A116" s="213"/>
      <c r="B116" s="120" t="s">
        <v>83</v>
      </c>
      <c r="C116" s="54" t="s">
        <v>43</v>
      </c>
      <c r="D116" s="152" t="s">
        <v>7</v>
      </c>
      <c r="E116" s="188"/>
      <c r="F116" s="189"/>
      <c r="G116" s="55">
        <f>G12*30644.752112</f>
        <v>30644.752111999998</v>
      </c>
      <c r="H116" s="56">
        <f>G12*3677.37025344</f>
        <v>3677.3702534399999</v>
      </c>
      <c r="I116"/>
      <c r="K116"/>
      <c r="L116"/>
      <c r="M116"/>
      <c r="N116"/>
      <c r="O116"/>
      <c r="P116"/>
      <c r="Q116"/>
      <c r="R116"/>
      <c r="S116"/>
      <c r="T116"/>
      <c r="U116"/>
      <c r="V116"/>
      <c r="W116"/>
      <c r="X116"/>
      <c r="Y116"/>
      <c r="Z116"/>
      <c r="AA116"/>
    </row>
    <row r="117" spans="1:27" ht="27" customHeight="1">
      <c r="A117" s="213"/>
      <c r="B117" s="120" t="s">
        <v>84</v>
      </c>
      <c r="C117" s="54" t="s">
        <v>44</v>
      </c>
      <c r="D117" s="152" t="s">
        <v>7</v>
      </c>
      <c r="E117" s="188"/>
      <c r="F117" s="189"/>
      <c r="G117" s="55">
        <f>G12*26771.2235648</f>
        <v>26771.223564799999</v>
      </c>
      <c r="H117" s="56">
        <f>G12*3212.546827776</f>
        <v>3212.5468277760001</v>
      </c>
      <c r="I117"/>
      <c r="K117"/>
      <c r="L117"/>
      <c r="M117"/>
      <c r="N117"/>
      <c r="O117"/>
      <c r="P117"/>
      <c r="Q117"/>
      <c r="R117"/>
      <c r="S117"/>
      <c r="T117"/>
      <c r="U117"/>
      <c r="V117"/>
      <c r="W117"/>
      <c r="X117"/>
      <c r="Y117"/>
      <c r="Z117"/>
      <c r="AA117"/>
    </row>
    <row r="118" spans="1:27" ht="23.25" customHeight="1">
      <c r="A118" s="213"/>
      <c r="B118" s="120" t="s">
        <v>85</v>
      </c>
      <c r="C118" s="54" t="s">
        <v>45</v>
      </c>
      <c r="D118" s="152" t="s">
        <v>7</v>
      </c>
      <c r="E118" s="188"/>
      <c r="F118" s="189"/>
      <c r="G118" s="55">
        <f>G12*19326.330624</f>
        <v>19326.330623999998</v>
      </c>
      <c r="H118" s="56">
        <f>G12*2126.2048</f>
        <v>2126.2048</v>
      </c>
      <c r="I118"/>
      <c r="K118"/>
      <c r="L118"/>
      <c r="M118"/>
      <c r="N118"/>
      <c r="O118"/>
      <c r="P118"/>
      <c r="Q118"/>
      <c r="R118"/>
      <c r="S118"/>
      <c r="T118"/>
      <c r="U118"/>
      <c r="V118"/>
      <c r="W118"/>
      <c r="X118"/>
      <c r="Y118"/>
      <c r="Z118"/>
    </row>
    <row r="119" spans="1:27" ht="151.9" customHeight="1">
      <c r="A119" s="213"/>
      <c r="B119" s="46">
        <v>910</v>
      </c>
      <c r="C119" s="47" t="s">
        <v>132</v>
      </c>
      <c r="D119" s="48" t="s">
        <v>4</v>
      </c>
      <c r="E119" s="186" t="s">
        <v>133</v>
      </c>
      <c r="F119" s="187"/>
      <c r="G119" s="49">
        <f>G12*1040.267136</f>
        <v>1040.2671359999999</v>
      </c>
      <c r="H119" s="50">
        <f>G12*114.432896</f>
        <v>114.432896</v>
      </c>
      <c r="I119"/>
      <c r="K119"/>
      <c r="L119"/>
      <c r="M119"/>
      <c r="N119"/>
      <c r="O119"/>
      <c r="P119"/>
      <c r="Q119"/>
      <c r="R119"/>
      <c r="S119"/>
      <c r="T119"/>
      <c r="U119"/>
      <c r="V119"/>
      <c r="W119"/>
      <c r="X119"/>
      <c r="Y119"/>
      <c r="Z119"/>
    </row>
    <row r="120" spans="1:27" ht="47.45" customHeight="1">
      <c r="A120" s="214"/>
      <c r="B120" s="51">
        <v>911</v>
      </c>
      <c r="C120" s="52" t="s">
        <v>30</v>
      </c>
      <c r="D120" s="53" t="s">
        <v>19</v>
      </c>
      <c r="E120" s="192" t="s">
        <v>134</v>
      </c>
      <c r="F120" s="192"/>
      <c r="G120" s="49">
        <f>G12*2599.52</f>
        <v>2599.52</v>
      </c>
      <c r="H120" s="50">
        <f>G12*0</f>
        <v>0</v>
      </c>
      <c r="I120"/>
      <c r="K120"/>
      <c r="L120"/>
      <c r="M120"/>
      <c r="N120"/>
      <c r="O120"/>
      <c r="P120"/>
      <c r="Q120"/>
      <c r="R120"/>
      <c r="S120"/>
      <c r="T120"/>
      <c r="U120"/>
      <c r="V120"/>
      <c r="W120"/>
      <c r="X120"/>
      <c r="Y120"/>
      <c r="Z120"/>
    </row>
    <row r="121" spans="1:27" ht="43.5" customHeight="1">
      <c r="A121" s="21"/>
      <c r="B121" s="27"/>
      <c r="C121" s="37"/>
      <c r="D121" s="22"/>
      <c r="E121" s="23"/>
      <c r="F121" s="23"/>
      <c r="G121" s="11"/>
      <c r="H121" s="24"/>
      <c r="I121"/>
      <c r="K121"/>
      <c r="L121"/>
      <c r="M121"/>
      <c r="N121"/>
      <c r="O121"/>
      <c r="P121"/>
      <c r="Q121"/>
      <c r="R121"/>
      <c r="S121"/>
      <c r="T121"/>
      <c r="U121"/>
      <c r="V121"/>
      <c r="W121"/>
      <c r="X121"/>
      <c r="Y121"/>
      <c r="Z121"/>
    </row>
    <row r="122" spans="1:27" ht="15.75" customHeight="1">
      <c r="A122" s="19" t="s">
        <v>112</v>
      </c>
      <c r="B122" s="175" t="s">
        <v>241</v>
      </c>
      <c r="C122" s="175"/>
      <c r="D122" s="175"/>
      <c r="E122" s="13"/>
      <c r="F122" s="14"/>
      <c r="G122" s="15"/>
      <c r="H122" s="16"/>
      <c r="I122"/>
      <c r="K122"/>
      <c r="L122"/>
      <c r="M122"/>
      <c r="N122"/>
      <c r="O122"/>
      <c r="P122"/>
      <c r="Q122"/>
      <c r="R122"/>
      <c r="S122"/>
      <c r="T122"/>
      <c r="U122"/>
      <c r="V122"/>
      <c r="W122"/>
      <c r="X122"/>
      <c r="Y122"/>
      <c r="Z122"/>
    </row>
    <row r="123" spans="1:27" ht="15.75" customHeight="1">
      <c r="A123" s="12"/>
      <c r="B123" s="28"/>
      <c r="C123" s="38"/>
      <c r="D123" s="17"/>
      <c r="E123" s="14"/>
      <c r="F123" s="14"/>
      <c r="G123" s="15"/>
      <c r="H123" s="16"/>
      <c r="I123"/>
      <c r="K123"/>
      <c r="L123"/>
      <c r="M123"/>
      <c r="N123"/>
      <c r="O123"/>
      <c r="P123"/>
      <c r="Q123"/>
      <c r="R123"/>
      <c r="S123"/>
      <c r="T123"/>
      <c r="U123"/>
      <c r="V123"/>
      <c r="W123"/>
      <c r="X123"/>
      <c r="Y123"/>
      <c r="Z123"/>
    </row>
    <row r="124" spans="1:27" ht="27" customHeight="1">
      <c r="A124" s="12"/>
      <c r="B124" s="29">
        <v>1</v>
      </c>
      <c r="C124" s="176" t="s">
        <v>22</v>
      </c>
      <c r="D124" s="177"/>
      <c r="E124" s="177"/>
      <c r="F124" s="177"/>
      <c r="G124" s="177"/>
      <c r="H124" s="178"/>
      <c r="I124"/>
      <c r="K124"/>
      <c r="L124"/>
      <c r="M124"/>
      <c r="N124"/>
      <c r="O124"/>
      <c r="P124"/>
      <c r="Q124"/>
      <c r="R124"/>
      <c r="S124"/>
      <c r="T124"/>
      <c r="U124"/>
      <c r="V124"/>
      <c r="W124"/>
      <c r="X124"/>
      <c r="Y124"/>
      <c r="Z124"/>
    </row>
    <row r="125" spans="1:27" ht="77.25" customHeight="1">
      <c r="A125" s="12"/>
      <c r="B125" s="30">
        <v>2</v>
      </c>
      <c r="C125" s="179" t="s">
        <v>103</v>
      </c>
      <c r="D125" s="180"/>
      <c r="E125" s="180"/>
      <c r="F125" s="180"/>
      <c r="G125" s="180"/>
      <c r="H125" s="181"/>
      <c r="I125"/>
      <c r="K125"/>
      <c r="L125"/>
      <c r="M125"/>
      <c r="N125"/>
      <c r="O125"/>
      <c r="P125"/>
      <c r="Q125"/>
      <c r="R125"/>
      <c r="S125"/>
      <c r="T125"/>
      <c r="U125"/>
      <c r="V125"/>
      <c r="W125"/>
      <c r="X125"/>
      <c r="Y125"/>
      <c r="Z125"/>
    </row>
    <row r="126" spans="1:27" ht="29.25" customHeight="1">
      <c r="A126" s="12"/>
      <c r="B126" s="29">
        <v>3</v>
      </c>
      <c r="C126" s="176" t="s">
        <v>23</v>
      </c>
      <c r="D126" s="177"/>
      <c r="E126" s="177"/>
      <c r="F126" s="177"/>
      <c r="G126" s="177"/>
      <c r="H126" s="178"/>
      <c r="I126"/>
      <c r="K126"/>
      <c r="L126"/>
      <c r="M126"/>
      <c r="N126"/>
      <c r="O126"/>
      <c r="P126"/>
      <c r="Q126"/>
      <c r="R126"/>
      <c r="S126"/>
      <c r="T126"/>
      <c r="U126"/>
      <c r="V126"/>
      <c r="W126"/>
      <c r="X126"/>
      <c r="Y126"/>
      <c r="Z126"/>
    </row>
    <row r="127" spans="1:27" ht="45" customHeight="1">
      <c r="A127" s="12"/>
      <c r="B127" s="30">
        <v>4</v>
      </c>
      <c r="C127" s="182" t="s">
        <v>104</v>
      </c>
      <c r="D127" s="182"/>
      <c r="E127" s="182"/>
      <c r="F127" s="182"/>
      <c r="G127" s="182"/>
      <c r="H127" s="182"/>
      <c r="I127"/>
      <c r="K127"/>
      <c r="L127"/>
      <c r="M127"/>
      <c r="N127"/>
      <c r="O127"/>
      <c r="P127"/>
      <c r="Q127"/>
      <c r="R127"/>
      <c r="S127"/>
      <c r="T127"/>
      <c r="U127"/>
      <c r="V127"/>
      <c r="W127"/>
      <c r="X127"/>
      <c r="Y127"/>
      <c r="Z127"/>
    </row>
    <row r="128" spans="1:27" ht="66" customHeight="1">
      <c r="A128" s="12"/>
      <c r="B128" s="29">
        <v>5</v>
      </c>
      <c r="C128" s="183" t="s">
        <v>33</v>
      </c>
      <c r="D128" s="183"/>
      <c r="E128" s="183"/>
      <c r="F128" s="183"/>
      <c r="G128" s="183"/>
      <c r="H128" s="183"/>
      <c r="I128"/>
      <c r="K128"/>
      <c r="L128"/>
      <c r="M128"/>
      <c r="N128"/>
      <c r="O128"/>
      <c r="P128"/>
      <c r="Q128"/>
      <c r="R128"/>
      <c r="S128"/>
      <c r="T128"/>
      <c r="U128"/>
      <c r="V128"/>
      <c r="W128"/>
      <c r="X128"/>
      <c r="Y128"/>
      <c r="Z128"/>
    </row>
    <row r="129" spans="1:26" ht="39.75" customHeight="1">
      <c r="A129" s="12"/>
      <c r="B129" s="30">
        <v>6</v>
      </c>
      <c r="C129" s="190" t="s">
        <v>76</v>
      </c>
      <c r="D129" s="190"/>
      <c r="E129" s="190"/>
      <c r="F129" s="190"/>
      <c r="G129" s="190"/>
      <c r="H129" s="190"/>
      <c r="I129"/>
      <c r="K129"/>
      <c r="L129"/>
      <c r="M129"/>
      <c r="N129"/>
      <c r="O129"/>
      <c r="P129"/>
      <c r="Q129"/>
      <c r="R129"/>
      <c r="S129"/>
      <c r="T129"/>
      <c r="U129"/>
      <c r="V129"/>
      <c r="W129"/>
      <c r="X129"/>
      <c r="Y129"/>
      <c r="Z129"/>
    </row>
    <row r="130" spans="1:26" ht="30" customHeight="1">
      <c r="A130" s="12"/>
      <c r="B130" s="31">
        <v>7</v>
      </c>
      <c r="C130" s="191" t="s">
        <v>105</v>
      </c>
      <c r="D130" s="191"/>
      <c r="E130" s="191"/>
      <c r="F130" s="191"/>
      <c r="G130" s="191"/>
      <c r="H130" s="191"/>
      <c r="I130"/>
      <c r="K130"/>
      <c r="L130"/>
      <c r="M130"/>
      <c r="N130"/>
      <c r="O130"/>
      <c r="P130"/>
      <c r="Q130"/>
      <c r="R130"/>
      <c r="S130"/>
      <c r="T130"/>
      <c r="U130"/>
      <c r="V130"/>
      <c r="W130"/>
      <c r="X130"/>
      <c r="Y130"/>
      <c r="Z130"/>
    </row>
    <row r="131" spans="1:26" ht="24" customHeight="1">
      <c r="A131" s="12"/>
      <c r="B131" s="32">
        <v>8</v>
      </c>
      <c r="C131" s="193" t="s">
        <v>24</v>
      </c>
      <c r="D131" s="194"/>
      <c r="E131" s="194"/>
      <c r="F131" s="194"/>
      <c r="G131" s="194"/>
      <c r="H131" s="195"/>
      <c r="I131"/>
      <c r="K131"/>
      <c r="L131"/>
      <c r="M131"/>
      <c r="N131"/>
      <c r="O131"/>
      <c r="P131"/>
      <c r="Q131"/>
      <c r="R131"/>
      <c r="S131"/>
      <c r="T131"/>
      <c r="U131"/>
      <c r="V131"/>
      <c r="W131"/>
      <c r="X131"/>
      <c r="Y131"/>
      <c r="Z131"/>
    </row>
    <row r="132" spans="1:26" ht="20.25" customHeight="1">
      <c r="A132" s="12"/>
      <c r="B132" s="33">
        <v>9</v>
      </c>
      <c r="C132" s="196" t="s">
        <v>111</v>
      </c>
      <c r="D132" s="196"/>
      <c r="E132" s="196"/>
      <c r="F132" s="196"/>
      <c r="G132" s="196"/>
      <c r="H132" s="196"/>
      <c r="I132"/>
      <c r="K132"/>
      <c r="L132"/>
      <c r="M132"/>
      <c r="N132"/>
      <c r="O132"/>
      <c r="P132"/>
      <c r="Q132"/>
      <c r="R132"/>
      <c r="S132"/>
      <c r="T132"/>
      <c r="U132"/>
      <c r="V132"/>
      <c r="W132"/>
      <c r="X132"/>
      <c r="Y132"/>
      <c r="Z132"/>
    </row>
    <row r="133" spans="1:26" ht="30" customHeight="1">
      <c r="A133" s="12"/>
      <c r="B133" s="32">
        <v>10</v>
      </c>
      <c r="C133" s="173" t="s">
        <v>106</v>
      </c>
      <c r="D133" s="174"/>
      <c r="E133" s="174"/>
      <c r="F133" s="174"/>
      <c r="G133" s="174"/>
      <c r="H133" s="174"/>
      <c r="I133"/>
      <c r="K133"/>
      <c r="L133"/>
      <c r="M133"/>
      <c r="N133"/>
      <c r="O133"/>
      <c r="P133"/>
      <c r="Q133"/>
      <c r="R133"/>
      <c r="S133"/>
      <c r="T133"/>
      <c r="U133"/>
      <c r="V133"/>
      <c r="W133"/>
      <c r="X133"/>
      <c r="Y133"/>
      <c r="Z133"/>
    </row>
    <row r="134" spans="1:26" ht="63.75" customHeight="1">
      <c r="B134" s="45">
        <v>16</v>
      </c>
      <c r="C134" s="322" t="s">
        <v>253</v>
      </c>
      <c r="D134" s="322"/>
      <c r="E134" s="322"/>
      <c r="F134" s="322"/>
      <c r="G134" s="322"/>
      <c r="H134" s="322"/>
      <c r="I134"/>
      <c r="K134"/>
      <c r="L134"/>
      <c r="M134"/>
      <c r="N134"/>
      <c r="O134"/>
      <c r="P134"/>
      <c r="Q134"/>
      <c r="R134"/>
      <c r="S134"/>
      <c r="T134"/>
      <c r="U134"/>
      <c r="V134"/>
      <c r="W134"/>
      <c r="X134"/>
      <c r="Y134"/>
      <c r="Z134"/>
    </row>
    <row r="135" spans="1:26">
      <c r="B135" s="318">
        <v>17</v>
      </c>
      <c r="C135" s="292" t="s">
        <v>232</v>
      </c>
      <c r="D135" s="292"/>
      <c r="E135" s="292"/>
      <c r="F135" s="292"/>
      <c r="G135" s="292"/>
      <c r="H135" s="292"/>
      <c r="I135"/>
      <c r="K135"/>
      <c r="L135"/>
      <c r="M135"/>
      <c r="N135"/>
      <c r="O135"/>
      <c r="P135"/>
      <c r="Q135"/>
      <c r="R135"/>
      <c r="S135"/>
      <c r="T135"/>
      <c r="U135"/>
      <c r="V135"/>
      <c r="W135"/>
      <c r="X135"/>
      <c r="Y135"/>
      <c r="Z135"/>
    </row>
    <row r="136" spans="1:26">
      <c r="B136" s="319"/>
      <c r="C136" s="293"/>
      <c r="D136" s="293"/>
      <c r="E136" s="293"/>
      <c r="F136" s="293"/>
      <c r="G136" s="293"/>
      <c r="H136" s="293"/>
      <c r="I136"/>
      <c r="K136"/>
      <c r="L136"/>
      <c r="M136"/>
      <c r="N136"/>
      <c r="O136"/>
      <c r="P136"/>
      <c r="Q136"/>
      <c r="R136"/>
      <c r="S136"/>
      <c r="T136"/>
      <c r="U136"/>
      <c r="V136"/>
      <c r="W136"/>
      <c r="X136"/>
      <c r="Y136"/>
      <c r="Z136"/>
    </row>
    <row r="137" spans="1:26" ht="42" customHeight="1">
      <c r="B137" s="164">
        <v>18</v>
      </c>
      <c r="C137" s="288" t="s">
        <v>246</v>
      </c>
      <c r="D137" s="288"/>
      <c r="E137" s="288"/>
      <c r="F137" s="288"/>
      <c r="G137" s="288"/>
      <c r="H137" s="288"/>
      <c r="I137"/>
      <c r="K137"/>
      <c r="L137"/>
      <c r="M137"/>
      <c r="N137"/>
      <c r="O137"/>
      <c r="P137"/>
      <c r="Q137"/>
      <c r="R137"/>
      <c r="S137"/>
      <c r="T137"/>
      <c r="U137"/>
      <c r="V137"/>
      <c r="W137"/>
      <c r="X137"/>
      <c r="Y137"/>
      <c r="Z137"/>
    </row>
    <row r="138" spans="1:26">
      <c r="I138"/>
      <c r="K138"/>
      <c r="L138"/>
      <c r="M138"/>
      <c r="N138"/>
      <c r="O138"/>
      <c r="P138"/>
      <c r="Q138"/>
      <c r="R138"/>
      <c r="S138"/>
      <c r="T138"/>
      <c r="U138"/>
      <c r="V138"/>
      <c r="W138"/>
      <c r="X138"/>
      <c r="Y138"/>
      <c r="Z138"/>
    </row>
    <row r="139" spans="1:26">
      <c r="I139"/>
      <c r="K139"/>
      <c r="L139"/>
      <c r="M139"/>
      <c r="N139"/>
      <c r="O139"/>
      <c r="P139"/>
      <c r="Q139"/>
      <c r="R139"/>
      <c r="S139"/>
      <c r="T139"/>
      <c r="U139"/>
      <c r="V139"/>
      <c r="W139"/>
      <c r="X139"/>
      <c r="Y139"/>
      <c r="Z139"/>
    </row>
    <row r="140" spans="1:26">
      <c r="I140"/>
      <c r="K140"/>
      <c r="L140"/>
      <c r="M140"/>
      <c r="N140"/>
      <c r="O140"/>
      <c r="P140"/>
      <c r="Q140"/>
      <c r="R140"/>
      <c r="S140"/>
      <c r="T140"/>
      <c r="U140"/>
      <c r="V140"/>
      <c r="W140"/>
      <c r="X140"/>
      <c r="Y140"/>
      <c r="Z140"/>
    </row>
    <row r="141" spans="1:26">
      <c r="I141"/>
      <c r="K141"/>
      <c r="L141"/>
      <c r="M141"/>
      <c r="N141"/>
      <c r="O141"/>
      <c r="P141"/>
      <c r="Q141"/>
      <c r="R141"/>
      <c r="S141"/>
      <c r="T141"/>
      <c r="U141"/>
      <c r="V141"/>
      <c r="W141"/>
      <c r="X141"/>
      <c r="Y141"/>
      <c r="Z141"/>
    </row>
    <row r="142" spans="1:26">
      <c r="I142"/>
      <c r="K142"/>
      <c r="L142"/>
      <c r="M142"/>
      <c r="N142"/>
      <c r="O142"/>
      <c r="P142"/>
      <c r="Q142"/>
      <c r="R142"/>
      <c r="S142"/>
      <c r="T142"/>
      <c r="U142"/>
      <c r="V142"/>
      <c r="W142"/>
      <c r="X142"/>
      <c r="Y142"/>
      <c r="Z142"/>
    </row>
    <row r="143" spans="1:26">
      <c r="I143"/>
      <c r="K143"/>
      <c r="L143"/>
      <c r="M143"/>
      <c r="N143"/>
      <c r="O143"/>
      <c r="P143"/>
      <c r="Q143"/>
      <c r="R143"/>
      <c r="S143"/>
      <c r="T143"/>
      <c r="U143"/>
      <c r="V143"/>
      <c r="W143"/>
      <c r="X143"/>
      <c r="Y143"/>
      <c r="Z143"/>
    </row>
    <row r="144" spans="1:26">
      <c r="I144"/>
      <c r="K144"/>
      <c r="L144"/>
      <c r="M144"/>
      <c r="N144"/>
      <c r="O144"/>
      <c r="P144"/>
      <c r="Q144"/>
      <c r="R144"/>
      <c r="S144"/>
      <c r="T144"/>
      <c r="U144"/>
      <c r="V144"/>
      <c r="W144"/>
      <c r="X144"/>
      <c r="Y144"/>
      <c r="Z144"/>
    </row>
    <row r="145" spans="11:25">
      <c r="K145"/>
      <c r="L145"/>
      <c r="M145"/>
      <c r="N145"/>
      <c r="O145"/>
      <c r="P145"/>
      <c r="Q145"/>
      <c r="R145"/>
      <c r="S145"/>
      <c r="T145"/>
      <c r="U145"/>
      <c r="V145"/>
      <c r="W145"/>
      <c r="X145"/>
      <c r="Y145"/>
    </row>
    <row r="146" spans="11:25">
      <c r="K146"/>
      <c r="L146"/>
      <c r="M146"/>
      <c r="N146"/>
      <c r="O146"/>
      <c r="P146"/>
      <c r="Q146"/>
      <c r="R146"/>
      <c r="S146"/>
      <c r="T146"/>
      <c r="U146"/>
      <c r="V146"/>
      <c r="W146"/>
      <c r="X146"/>
      <c r="Y146"/>
    </row>
    <row r="147" spans="11:25">
      <c r="K147"/>
      <c r="L147"/>
      <c r="M147"/>
      <c r="N147"/>
      <c r="O147"/>
      <c r="P147"/>
      <c r="Q147"/>
      <c r="R147"/>
      <c r="S147"/>
      <c r="T147"/>
      <c r="U147"/>
      <c r="V147"/>
      <c r="W147"/>
      <c r="X147"/>
      <c r="Y147"/>
    </row>
    <row r="148" spans="11:25">
      <c r="K148"/>
      <c r="L148"/>
      <c r="M148"/>
      <c r="N148"/>
      <c r="O148"/>
      <c r="P148"/>
      <c r="Q148"/>
      <c r="R148"/>
      <c r="S148"/>
      <c r="T148"/>
      <c r="U148"/>
      <c r="V148"/>
      <c r="W148"/>
      <c r="X148"/>
      <c r="Y148"/>
    </row>
    <row r="149" spans="11:25">
      <c r="K149"/>
      <c r="L149"/>
      <c r="M149"/>
      <c r="N149"/>
      <c r="O149"/>
      <c r="P149"/>
      <c r="Q149"/>
      <c r="R149"/>
      <c r="S149"/>
      <c r="T149"/>
      <c r="U149"/>
      <c r="V149"/>
      <c r="W149"/>
      <c r="X149"/>
      <c r="Y149"/>
    </row>
    <row r="150" spans="11:25">
      <c r="K150"/>
      <c r="L150"/>
      <c r="M150"/>
      <c r="N150"/>
      <c r="O150"/>
      <c r="P150"/>
      <c r="Q150"/>
      <c r="R150"/>
      <c r="S150"/>
      <c r="T150"/>
      <c r="U150"/>
      <c r="V150"/>
      <c r="W150"/>
      <c r="X150"/>
      <c r="Y150"/>
    </row>
    <row r="151" spans="11:25">
      <c r="K151"/>
      <c r="L151"/>
      <c r="M151"/>
      <c r="N151"/>
      <c r="O151"/>
      <c r="P151"/>
      <c r="Q151"/>
      <c r="R151"/>
      <c r="S151"/>
      <c r="T151"/>
      <c r="U151"/>
      <c r="V151"/>
      <c r="W151"/>
      <c r="X151"/>
      <c r="Y151"/>
    </row>
    <row r="152" spans="11:25">
      <c r="K152"/>
      <c r="L152"/>
      <c r="M152"/>
      <c r="N152"/>
      <c r="O152"/>
      <c r="P152"/>
      <c r="Q152"/>
      <c r="R152"/>
      <c r="S152"/>
      <c r="T152"/>
      <c r="U152"/>
      <c r="V152"/>
      <c r="W152"/>
      <c r="X152"/>
      <c r="Y152"/>
    </row>
    <row r="153" spans="11:25">
      <c r="K153"/>
      <c r="L153"/>
      <c r="M153"/>
      <c r="N153"/>
      <c r="O153"/>
      <c r="P153"/>
      <c r="Q153"/>
      <c r="R153"/>
      <c r="S153"/>
      <c r="T153"/>
      <c r="U153"/>
      <c r="V153"/>
      <c r="W153"/>
      <c r="X153"/>
      <c r="Y153"/>
    </row>
    <row r="154" spans="11:25">
      <c r="K154"/>
      <c r="L154"/>
      <c r="M154"/>
      <c r="N154"/>
      <c r="O154"/>
      <c r="P154"/>
      <c r="Q154"/>
      <c r="R154"/>
      <c r="S154"/>
      <c r="T154"/>
      <c r="U154"/>
      <c r="V154"/>
      <c r="W154"/>
      <c r="X154"/>
      <c r="Y154"/>
    </row>
    <row r="155" spans="11:25">
      <c r="K155"/>
      <c r="L155"/>
      <c r="M155"/>
      <c r="N155"/>
      <c r="O155"/>
      <c r="P155"/>
      <c r="Q155"/>
      <c r="R155"/>
      <c r="S155"/>
      <c r="T155"/>
      <c r="U155"/>
      <c r="V155"/>
      <c r="W155"/>
      <c r="X155"/>
      <c r="Y155"/>
    </row>
    <row r="156" spans="11:25">
      <c r="K156"/>
      <c r="L156"/>
      <c r="M156"/>
      <c r="N156"/>
      <c r="O156"/>
      <c r="P156"/>
      <c r="Q156"/>
      <c r="R156"/>
      <c r="S156"/>
      <c r="T156"/>
      <c r="U156"/>
      <c r="V156"/>
      <c r="W156"/>
      <c r="X156"/>
      <c r="Y156"/>
    </row>
    <row r="157" spans="11:25">
      <c r="K157"/>
      <c r="L157"/>
      <c r="M157"/>
      <c r="N157"/>
      <c r="O157"/>
      <c r="P157"/>
      <c r="Q157"/>
      <c r="R157"/>
      <c r="S157"/>
      <c r="T157"/>
      <c r="U157"/>
      <c r="V157"/>
      <c r="W157"/>
      <c r="X157"/>
      <c r="Y157"/>
    </row>
    <row r="158" spans="11:25">
      <c r="K158"/>
      <c r="L158"/>
      <c r="M158"/>
      <c r="N158"/>
      <c r="O158"/>
      <c r="P158"/>
      <c r="Q158"/>
      <c r="R158"/>
      <c r="S158"/>
      <c r="T158"/>
      <c r="U158"/>
      <c r="V158"/>
      <c r="W158"/>
      <c r="X158"/>
      <c r="Y158"/>
    </row>
    <row r="159" spans="11:25">
      <c r="K159"/>
      <c r="L159"/>
      <c r="M159"/>
      <c r="N159"/>
      <c r="O159"/>
      <c r="P159"/>
      <c r="Q159"/>
      <c r="R159"/>
      <c r="S159"/>
      <c r="T159"/>
      <c r="U159"/>
      <c r="V159"/>
      <c r="W159"/>
      <c r="X159"/>
      <c r="Y159"/>
    </row>
    <row r="160" spans="11:25">
      <c r="K160"/>
      <c r="L160"/>
      <c r="M160"/>
      <c r="N160"/>
      <c r="O160"/>
      <c r="P160"/>
      <c r="Q160"/>
      <c r="R160"/>
      <c r="S160"/>
      <c r="T160"/>
      <c r="U160"/>
      <c r="V160"/>
      <c r="W160"/>
      <c r="X160"/>
      <c r="Y160"/>
    </row>
    <row r="161" spans="9:25">
      <c r="K161"/>
      <c r="L161"/>
      <c r="M161"/>
      <c r="N161"/>
      <c r="O161"/>
      <c r="P161"/>
      <c r="Q161"/>
      <c r="R161"/>
      <c r="S161"/>
      <c r="T161"/>
      <c r="U161"/>
      <c r="V161"/>
      <c r="W161"/>
      <c r="X161"/>
      <c r="Y161"/>
    </row>
    <row r="162" spans="9:25">
      <c r="K162"/>
      <c r="L162"/>
      <c r="M162"/>
      <c r="N162"/>
      <c r="O162"/>
      <c r="P162"/>
      <c r="Q162"/>
      <c r="R162"/>
      <c r="S162"/>
      <c r="T162"/>
      <c r="U162"/>
      <c r="V162"/>
      <c r="W162"/>
      <c r="X162"/>
      <c r="Y162"/>
    </row>
    <row r="163" spans="9:25">
      <c r="K163"/>
      <c r="L163"/>
      <c r="M163"/>
      <c r="N163"/>
      <c r="O163"/>
      <c r="P163"/>
      <c r="Q163"/>
      <c r="R163"/>
      <c r="S163"/>
      <c r="T163"/>
      <c r="U163"/>
      <c r="V163"/>
      <c r="W163"/>
      <c r="X163"/>
      <c r="Y163"/>
    </row>
    <row r="164" spans="9:25">
      <c r="K164"/>
      <c r="L164"/>
      <c r="M164"/>
      <c r="N164"/>
      <c r="O164"/>
      <c r="P164"/>
      <c r="Q164"/>
      <c r="R164"/>
      <c r="S164"/>
      <c r="T164"/>
      <c r="U164"/>
      <c r="V164"/>
      <c r="W164"/>
      <c r="X164"/>
      <c r="Y164"/>
    </row>
    <row r="165" spans="9:25">
      <c r="K165"/>
      <c r="L165"/>
      <c r="M165"/>
      <c r="N165"/>
      <c r="O165"/>
      <c r="P165"/>
      <c r="Q165"/>
      <c r="R165"/>
      <c r="S165"/>
      <c r="T165"/>
      <c r="U165"/>
      <c r="V165"/>
      <c r="W165"/>
      <c r="X165"/>
      <c r="Y165"/>
    </row>
    <row r="166" spans="9:25">
      <c r="K166"/>
      <c r="L166"/>
      <c r="M166"/>
      <c r="N166"/>
      <c r="O166"/>
      <c r="P166"/>
      <c r="Q166"/>
      <c r="R166"/>
      <c r="S166"/>
      <c r="T166"/>
      <c r="U166"/>
      <c r="V166"/>
      <c r="W166"/>
      <c r="X166"/>
      <c r="Y166"/>
    </row>
    <row r="167" spans="9:25">
      <c r="K167"/>
      <c r="L167"/>
      <c r="M167"/>
      <c r="N167"/>
      <c r="O167"/>
      <c r="P167"/>
      <c r="Q167"/>
      <c r="R167"/>
      <c r="S167"/>
      <c r="T167"/>
      <c r="U167"/>
      <c r="V167"/>
      <c r="W167"/>
      <c r="X167"/>
      <c r="Y167"/>
    </row>
    <row r="168" spans="9:25">
      <c r="K168"/>
      <c r="L168"/>
      <c r="M168"/>
      <c r="N168"/>
      <c r="O168"/>
      <c r="P168"/>
      <c r="Q168"/>
      <c r="R168"/>
      <c r="S168"/>
      <c r="T168"/>
      <c r="U168"/>
      <c r="V168"/>
      <c r="W168"/>
      <c r="X168"/>
      <c r="Y168"/>
    </row>
    <row r="169" spans="9:25">
      <c r="K169"/>
      <c r="L169"/>
      <c r="M169"/>
      <c r="N169"/>
      <c r="O169"/>
      <c r="P169"/>
      <c r="Q169"/>
      <c r="R169"/>
      <c r="S169"/>
      <c r="T169"/>
      <c r="U169"/>
      <c r="V169"/>
      <c r="W169"/>
      <c r="X169"/>
      <c r="Y169"/>
    </row>
    <row r="170" spans="9:25">
      <c r="I170"/>
      <c r="K170"/>
      <c r="L170"/>
      <c r="M170"/>
      <c r="N170"/>
      <c r="O170"/>
      <c r="P170"/>
      <c r="Q170"/>
      <c r="R170"/>
      <c r="S170"/>
      <c r="T170"/>
      <c r="U170"/>
      <c r="V170"/>
      <c r="W170"/>
      <c r="X170"/>
      <c r="Y170"/>
    </row>
    <row r="171" spans="9:25">
      <c r="I171"/>
      <c r="K171"/>
      <c r="L171"/>
      <c r="M171"/>
      <c r="N171"/>
      <c r="O171"/>
      <c r="P171"/>
      <c r="Q171"/>
      <c r="R171"/>
      <c r="S171"/>
      <c r="T171"/>
      <c r="U171"/>
      <c r="V171"/>
      <c r="W171"/>
      <c r="X171"/>
      <c r="Y171"/>
    </row>
    <row r="172" spans="9:25">
      <c r="I172"/>
      <c r="K172"/>
      <c r="L172"/>
      <c r="M172"/>
      <c r="N172"/>
      <c r="O172"/>
      <c r="P172"/>
      <c r="Q172"/>
      <c r="R172"/>
      <c r="S172"/>
      <c r="T172"/>
      <c r="U172"/>
      <c r="V172"/>
      <c r="W172"/>
      <c r="X172"/>
    </row>
    <row r="173" spans="9:25">
      <c r="I173"/>
      <c r="K173"/>
      <c r="L173"/>
      <c r="M173"/>
      <c r="N173"/>
      <c r="O173"/>
      <c r="P173"/>
      <c r="Q173"/>
      <c r="R173"/>
      <c r="S173"/>
      <c r="T173"/>
      <c r="U173"/>
      <c r="V173"/>
      <c r="W173"/>
      <c r="X173"/>
    </row>
    <row r="174" spans="9:25">
      <c r="I174"/>
      <c r="K174"/>
      <c r="L174"/>
      <c r="M174"/>
      <c r="N174"/>
      <c r="O174"/>
      <c r="P174"/>
      <c r="Q174"/>
      <c r="R174"/>
      <c r="S174"/>
      <c r="T174"/>
      <c r="U174"/>
      <c r="V174"/>
      <c r="W174"/>
      <c r="X174"/>
    </row>
    <row r="175" spans="9:25">
      <c r="I175"/>
      <c r="K175"/>
      <c r="L175"/>
      <c r="M175"/>
      <c r="N175"/>
      <c r="O175"/>
      <c r="P175"/>
      <c r="Q175"/>
      <c r="R175"/>
      <c r="S175"/>
      <c r="T175"/>
      <c r="U175"/>
      <c r="V175"/>
      <c r="W175"/>
      <c r="X175"/>
    </row>
    <row r="176" spans="9:25">
      <c r="I176"/>
      <c r="K176"/>
      <c r="L176"/>
      <c r="M176"/>
      <c r="N176"/>
      <c r="O176"/>
      <c r="P176"/>
      <c r="Q176"/>
      <c r="R176"/>
      <c r="S176"/>
      <c r="T176"/>
      <c r="U176"/>
      <c r="V176"/>
      <c r="W176"/>
      <c r="X176"/>
    </row>
    <row r="177" spans="9:24">
      <c r="I177"/>
      <c r="K177"/>
      <c r="L177"/>
      <c r="M177"/>
      <c r="N177"/>
      <c r="O177"/>
      <c r="P177"/>
      <c r="Q177"/>
      <c r="R177"/>
      <c r="S177"/>
      <c r="T177"/>
      <c r="U177"/>
      <c r="V177"/>
      <c r="W177"/>
      <c r="X177"/>
    </row>
    <row r="178" spans="9:24">
      <c r="I178"/>
      <c r="K178"/>
      <c r="L178"/>
      <c r="M178"/>
      <c r="N178"/>
      <c r="O178"/>
      <c r="P178"/>
      <c r="Q178"/>
      <c r="R178"/>
      <c r="S178"/>
      <c r="T178"/>
      <c r="U178"/>
      <c r="V178"/>
      <c r="W178"/>
      <c r="X178"/>
    </row>
    <row r="179" spans="9:24">
      <c r="I179"/>
      <c r="K179"/>
      <c r="L179"/>
      <c r="M179"/>
      <c r="N179"/>
      <c r="O179"/>
      <c r="P179"/>
      <c r="Q179"/>
      <c r="R179"/>
      <c r="S179"/>
      <c r="T179"/>
      <c r="U179"/>
      <c r="V179"/>
      <c r="W179"/>
      <c r="X179"/>
    </row>
    <row r="180" spans="9:24">
      <c r="I180"/>
      <c r="K180"/>
      <c r="L180"/>
      <c r="M180"/>
      <c r="N180"/>
      <c r="O180"/>
      <c r="P180"/>
      <c r="Q180"/>
      <c r="R180"/>
      <c r="S180"/>
      <c r="T180"/>
      <c r="U180"/>
      <c r="V180"/>
      <c r="W180"/>
      <c r="X180"/>
    </row>
    <row r="181" spans="9:24">
      <c r="I181"/>
      <c r="K181"/>
      <c r="L181"/>
      <c r="M181"/>
      <c r="N181"/>
      <c r="O181"/>
      <c r="P181"/>
      <c r="Q181"/>
      <c r="R181"/>
      <c r="S181"/>
      <c r="T181"/>
      <c r="U181"/>
      <c r="V181"/>
      <c r="W181"/>
      <c r="X181"/>
    </row>
    <row r="182" spans="9:24">
      <c r="I182"/>
      <c r="K182"/>
      <c r="L182"/>
      <c r="M182"/>
      <c r="N182"/>
      <c r="O182"/>
      <c r="P182"/>
      <c r="Q182"/>
      <c r="R182"/>
      <c r="S182"/>
      <c r="T182"/>
      <c r="U182"/>
      <c r="V182"/>
      <c r="W182"/>
      <c r="X182"/>
    </row>
    <row r="183" spans="9:24">
      <c r="I183"/>
      <c r="K183"/>
      <c r="L183"/>
      <c r="M183"/>
      <c r="N183"/>
      <c r="O183"/>
      <c r="P183"/>
      <c r="Q183"/>
      <c r="R183"/>
      <c r="S183"/>
      <c r="T183"/>
      <c r="U183"/>
      <c r="V183"/>
      <c r="W183"/>
      <c r="X183"/>
    </row>
    <row r="184" spans="9:24">
      <c r="I184"/>
      <c r="K184"/>
      <c r="L184"/>
      <c r="M184"/>
      <c r="N184"/>
      <c r="O184"/>
      <c r="P184"/>
      <c r="Q184"/>
      <c r="R184"/>
      <c r="S184"/>
      <c r="T184"/>
      <c r="U184"/>
      <c r="V184"/>
      <c r="W184"/>
      <c r="X184"/>
    </row>
    <row r="185" spans="9:24">
      <c r="I185"/>
      <c r="K185"/>
      <c r="L185"/>
      <c r="M185"/>
      <c r="N185"/>
      <c r="O185"/>
      <c r="P185"/>
      <c r="Q185"/>
      <c r="R185"/>
      <c r="S185"/>
      <c r="T185"/>
      <c r="U185"/>
      <c r="V185"/>
      <c r="W185"/>
      <c r="X185"/>
    </row>
    <row r="186" spans="9:24">
      <c r="I186"/>
      <c r="K186"/>
      <c r="L186"/>
      <c r="M186"/>
      <c r="N186"/>
      <c r="O186"/>
      <c r="P186"/>
      <c r="Q186"/>
      <c r="R186"/>
      <c r="S186"/>
      <c r="T186"/>
      <c r="U186"/>
      <c r="V186"/>
      <c r="W186"/>
      <c r="X186"/>
    </row>
    <row r="187" spans="9:24">
      <c r="I187"/>
      <c r="K187"/>
      <c r="L187"/>
      <c r="M187"/>
      <c r="N187"/>
      <c r="O187"/>
      <c r="P187"/>
      <c r="Q187"/>
      <c r="R187"/>
      <c r="S187"/>
      <c r="T187"/>
      <c r="U187"/>
      <c r="V187"/>
      <c r="W187"/>
      <c r="X187"/>
    </row>
    <row r="188" spans="9:24">
      <c r="I188"/>
      <c r="K188"/>
      <c r="L188"/>
      <c r="M188"/>
      <c r="N188"/>
      <c r="O188"/>
      <c r="P188"/>
      <c r="Q188"/>
      <c r="R188"/>
      <c r="S188"/>
      <c r="T188"/>
      <c r="U188"/>
      <c r="V188"/>
      <c r="W188"/>
      <c r="X188"/>
    </row>
    <row r="189" spans="9:24">
      <c r="I189"/>
      <c r="K189"/>
      <c r="L189"/>
      <c r="M189"/>
      <c r="N189"/>
      <c r="O189"/>
      <c r="P189"/>
      <c r="Q189"/>
      <c r="R189"/>
      <c r="S189"/>
      <c r="T189"/>
      <c r="U189"/>
      <c r="V189"/>
      <c r="W189"/>
      <c r="X189"/>
    </row>
    <row r="190" spans="9:24">
      <c r="I190"/>
      <c r="K190"/>
      <c r="L190"/>
      <c r="M190"/>
      <c r="N190"/>
      <c r="O190"/>
      <c r="P190"/>
      <c r="Q190"/>
      <c r="R190"/>
      <c r="S190"/>
      <c r="T190"/>
      <c r="U190"/>
      <c r="V190"/>
      <c r="W190"/>
      <c r="X190"/>
    </row>
    <row r="191" spans="9:24">
      <c r="I191"/>
      <c r="K191"/>
      <c r="L191"/>
      <c r="M191"/>
      <c r="N191"/>
      <c r="O191"/>
      <c r="P191"/>
      <c r="Q191"/>
      <c r="R191"/>
      <c r="S191"/>
      <c r="T191"/>
      <c r="U191"/>
      <c r="V191"/>
      <c r="W191"/>
      <c r="X191"/>
    </row>
    <row r="192" spans="9:24">
      <c r="I192"/>
      <c r="K192"/>
      <c r="L192"/>
      <c r="M192"/>
      <c r="N192"/>
      <c r="O192"/>
      <c r="P192"/>
      <c r="Q192"/>
      <c r="R192"/>
      <c r="S192"/>
      <c r="T192"/>
      <c r="U192"/>
      <c r="V192"/>
      <c r="W192"/>
      <c r="X192"/>
    </row>
    <row r="193" spans="9:24">
      <c r="I193"/>
      <c r="K193"/>
      <c r="L193"/>
      <c r="M193"/>
      <c r="N193"/>
      <c r="O193"/>
      <c r="P193"/>
      <c r="Q193"/>
      <c r="R193"/>
      <c r="S193"/>
      <c r="T193"/>
      <c r="U193"/>
      <c r="V193"/>
      <c r="W193"/>
      <c r="X193"/>
    </row>
    <row r="194" spans="9:24">
      <c r="I194"/>
      <c r="K194"/>
      <c r="L194"/>
      <c r="M194"/>
      <c r="N194"/>
      <c r="O194"/>
      <c r="P194"/>
      <c r="Q194"/>
      <c r="R194"/>
      <c r="S194"/>
      <c r="T194"/>
      <c r="U194"/>
      <c r="V194"/>
      <c r="W194"/>
      <c r="X194"/>
    </row>
    <row r="195" spans="9:24">
      <c r="I195"/>
      <c r="K195"/>
      <c r="L195"/>
      <c r="M195"/>
      <c r="N195"/>
      <c r="O195"/>
      <c r="P195"/>
      <c r="Q195"/>
      <c r="R195"/>
      <c r="S195"/>
      <c r="T195"/>
      <c r="U195"/>
      <c r="V195"/>
      <c r="W195"/>
      <c r="X195"/>
    </row>
    <row r="196" spans="9:24">
      <c r="I196"/>
      <c r="K196"/>
      <c r="L196"/>
      <c r="M196"/>
      <c r="N196"/>
      <c r="O196"/>
      <c r="P196"/>
      <c r="Q196"/>
      <c r="R196"/>
      <c r="S196"/>
      <c r="T196"/>
      <c r="U196"/>
      <c r="V196"/>
      <c r="W196"/>
      <c r="X196"/>
    </row>
  </sheetData>
  <sheetProtection formatCells="0" formatColumns="0" formatRows="0" insertColumns="0" insertRows="0" insertHyperlinks="0" deleteColumns="0" deleteRows="0" sort="0" autoFilter="0" pivotTables="0"/>
  <mergeCells count="150">
    <mergeCell ref="B135:B136"/>
    <mergeCell ref="E58:F58"/>
    <mergeCell ref="E60:F60"/>
    <mergeCell ref="E59:F59"/>
    <mergeCell ref="E72:F72"/>
    <mergeCell ref="C134:H134"/>
    <mergeCell ref="B46:B47"/>
    <mergeCell ref="C44:C45"/>
    <mergeCell ref="C46:C47"/>
    <mergeCell ref="E44:F47"/>
    <mergeCell ref="E79:F79"/>
    <mergeCell ref="E85:F85"/>
    <mergeCell ref="E86:F86"/>
    <mergeCell ref="E53:F53"/>
    <mergeCell ref="E77:F77"/>
    <mergeCell ref="E80:F80"/>
    <mergeCell ref="E81:F81"/>
    <mergeCell ref="E82:F82"/>
    <mergeCell ref="E83:F83"/>
    <mergeCell ref="E84:F84"/>
    <mergeCell ref="G90:H90"/>
    <mergeCell ref="E108:F108"/>
    <mergeCell ref="E119:F119"/>
    <mergeCell ref="E109:F109"/>
    <mergeCell ref="C137:H137"/>
    <mergeCell ref="E1:H1"/>
    <mergeCell ref="E2:H2"/>
    <mergeCell ref="F3:H3"/>
    <mergeCell ref="C135:H136"/>
    <mergeCell ref="C41:C42"/>
    <mergeCell ref="E27:F27"/>
    <mergeCell ref="A3:C5"/>
    <mergeCell ref="D3:D5"/>
    <mergeCell ref="E39:F42"/>
    <mergeCell ref="E43:F43"/>
    <mergeCell ref="B44:B45"/>
    <mergeCell ref="A6:B6"/>
    <mergeCell ref="C6:H6"/>
    <mergeCell ref="A7:H8"/>
    <mergeCell ref="E4:H4"/>
    <mergeCell ref="F5:H5"/>
    <mergeCell ref="E17:F17"/>
    <mergeCell ref="E25:F25"/>
    <mergeCell ref="B41:B42"/>
    <mergeCell ref="E26:F26"/>
    <mergeCell ref="E29:F29"/>
    <mergeCell ref="E30:F30"/>
    <mergeCell ref="E31:F31"/>
    <mergeCell ref="B12:F12"/>
    <mergeCell ref="G12:H12"/>
    <mergeCell ref="G11:H11"/>
    <mergeCell ref="E23:F23"/>
    <mergeCell ref="E24:F24"/>
    <mergeCell ref="A9:A10"/>
    <mergeCell ref="G89:H89"/>
    <mergeCell ref="E63:F63"/>
    <mergeCell ref="E65:F65"/>
    <mergeCell ref="E54:F54"/>
    <mergeCell ref="E71:F71"/>
    <mergeCell ref="E13:F13"/>
    <mergeCell ref="E14:F14"/>
    <mergeCell ref="E15:F15"/>
    <mergeCell ref="E16:F16"/>
    <mergeCell ref="A49:H49"/>
    <mergeCell ref="A50:F51"/>
    <mergeCell ref="G51:H51"/>
    <mergeCell ref="G50:H50"/>
    <mergeCell ref="A12:A34"/>
    <mergeCell ref="E18:F18"/>
    <mergeCell ref="E19:F19"/>
    <mergeCell ref="E20:F20"/>
    <mergeCell ref="E57:F57"/>
    <mergeCell ref="E61:F61"/>
    <mergeCell ref="E62:F62"/>
    <mergeCell ref="E64:F64"/>
    <mergeCell ref="E66:F66"/>
    <mergeCell ref="E70:F70"/>
    <mergeCell ref="E73:F73"/>
    <mergeCell ref="E21:F21"/>
    <mergeCell ref="E35:F35"/>
    <mergeCell ref="E67:F67"/>
    <mergeCell ref="E32:F32"/>
    <mergeCell ref="E34:F34"/>
    <mergeCell ref="B9:B10"/>
    <mergeCell ref="C9:C10"/>
    <mergeCell ref="D9:D10"/>
    <mergeCell ref="E9:E10"/>
    <mergeCell ref="F9:H9"/>
    <mergeCell ref="F10:G10"/>
    <mergeCell ref="E28:F28"/>
    <mergeCell ref="E68:F68"/>
    <mergeCell ref="E69:F69"/>
    <mergeCell ref="A11:F11"/>
    <mergeCell ref="E48:F48"/>
    <mergeCell ref="B33:H33"/>
    <mergeCell ref="E22:F22"/>
    <mergeCell ref="E55:F55"/>
    <mergeCell ref="E56:F56"/>
    <mergeCell ref="B37:F37"/>
    <mergeCell ref="E38:F38"/>
    <mergeCell ref="C39:C40"/>
    <mergeCell ref="E52:F52"/>
    <mergeCell ref="A52:A76"/>
    <mergeCell ref="E74:F74"/>
    <mergeCell ref="B39:B40"/>
    <mergeCell ref="E75:F75"/>
    <mergeCell ref="E76:F76"/>
    <mergeCell ref="C132:H132"/>
    <mergeCell ref="E110:F110"/>
    <mergeCell ref="E111:F111"/>
    <mergeCell ref="E106:F106"/>
    <mergeCell ref="E107:F107"/>
    <mergeCell ref="A88:H88"/>
    <mergeCell ref="E91:F91"/>
    <mergeCell ref="E92:F92"/>
    <mergeCell ref="E93:F93"/>
    <mergeCell ref="E94:F94"/>
    <mergeCell ref="E95:F95"/>
    <mergeCell ref="E96:F96"/>
    <mergeCell ref="E103:F103"/>
    <mergeCell ref="E104:F104"/>
    <mergeCell ref="E105:F105"/>
    <mergeCell ref="E97:F97"/>
    <mergeCell ref="E98:F98"/>
    <mergeCell ref="A89:F90"/>
    <mergeCell ref="A91:A120"/>
    <mergeCell ref="E78:F78"/>
    <mergeCell ref="E99:F99"/>
    <mergeCell ref="E100:F100"/>
    <mergeCell ref="E101:F101"/>
    <mergeCell ref="E102:F102"/>
    <mergeCell ref="A87:H87"/>
    <mergeCell ref="C133:H133"/>
    <mergeCell ref="B122:D122"/>
    <mergeCell ref="C124:H124"/>
    <mergeCell ref="C125:H125"/>
    <mergeCell ref="C126:H126"/>
    <mergeCell ref="C127:H127"/>
    <mergeCell ref="C128:H128"/>
    <mergeCell ref="E112:F112"/>
    <mergeCell ref="E114:F114"/>
    <mergeCell ref="E115:F115"/>
    <mergeCell ref="E116:F116"/>
    <mergeCell ref="E117:F117"/>
    <mergeCell ref="E118:F118"/>
    <mergeCell ref="C129:H129"/>
    <mergeCell ref="C130:H130"/>
    <mergeCell ref="E113:F113"/>
    <mergeCell ref="E120:F120"/>
    <mergeCell ref="C131:H131"/>
  </mergeCells>
  <pageMargins left="0.19685039370078741" right="0.19685039370078741" top="0.15748031496062992" bottom="0.27559055118110237" header="0.31496062992125984" footer="0.31496062992125984"/>
  <pageSetup paperSize="9" scale="59" fitToHeight="0" orientation="portrait" r:id="rId1"/>
  <headerFooter>
    <oddFooter>&amp;C&amp;P из &amp;N</oddFooter>
  </headerFooter>
  <ignoredErrors>
    <ignoredError sqref="B10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339" t="s">
        <v>98</v>
      </c>
      <c r="Q7" s="339"/>
      <c r="R7" s="339"/>
    </row>
    <row r="9" spans="3:19">
      <c r="E9" t="s">
        <v>92</v>
      </c>
      <c r="F9" s="1" t="s">
        <v>97</v>
      </c>
      <c r="G9" t="s">
        <v>93</v>
      </c>
      <c r="H9" s="1" t="s">
        <v>97</v>
      </c>
      <c r="I9" t="s">
        <v>94</v>
      </c>
      <c r="J9" s="1" t="s">
        <v>97</v>
      </c>
      <c r="K9" t="s">
        <v>95</v>
      </c>
      <c r="L9" s="1" t="s">
        <v>97</v>
      </c>
      <c r="N9" t="s">
        <v>96</v>
      </c>
    </row>
    <row r="10" spans="3:19">
      <c r="C10">
        <v>4</v>
      </c>
      <c r="E10" s="6"/>
      <c r="F10" s="6"/>
      <c r="G10" s="6"/>
      <c r="H10" s="6"/>
      <c r="I10" s="6">
        <v>19749.400000000001</v>
      </c>
      <c r="J10" s="6">
        <f>I13/I10</f>
        <v>1.450261780104712</v>
      </c>
      <c r="K10" s="6"/>
      <c r="L10" s="6"/>
      <c r="P10" s="6"/>
      <c r="Q10" s="6"/>
      <c r="R10" s="6"/>
      <c r="S10" s="6"/>
    </row>
    <row r="11" spans="3:19">
      <c r="C11">
        <v>8</v>
      </c>
      <c r="E11" s="6">
        <v>22582.560000000001</v>
      </c>
      <c r="F11" s="6">
        <f>E13/E11</f>
        <v>1.3965201465201464</v>
      </c>
      <c r="G11" s="6"/>
      <c r="H11" s="6"/>
      <c r="I11" s="6">
        <v>22131.360000000001</v>
      </c>
      <c r="J11" s="6">
        <f>I13/I11</f>
        <v>1.2941726129799525</v>
      </c>
      <c r="K11" s="6">
        <v>49300</v>
      </c>
      <c r="L11" s="6">
        <f>K13/K11</f>
        <v>1.0286004056795133</v>
      </c>
      <c r="M11" s="6">
        <v>68958.399999999994</v>
      </c>
      <c r="N11" s="6">
        <v>25643.200000000001</v>
      </c>
      <c r="P11" s="6">
        <v>902.59</v>
      </c>
      <c r="Q11" s="6">
        <f>P13/P11</f>
        <v>1.3198462203215191</v>
      </c>
      <c r="R11" s="6">
        <v>635.03</v>
      </c>
      <c r="S11" s="6">
        <f>R13/R11</f>
        <v>1.331165456750075</v>
      </c>
    </row>
    <row r="12" spans="3:19">
      <c r="C12">
        <v>12</v>
      </c>
      <c r="E12" s="6"/>
      <c r="F12" s="6"/>
      <c r="G12" s="6">
        <v>32476.6</v>
      </c>
      <c r="H12" s="6">
        <f>G13/G12</f>
        <v>1.0825024787077466</v>
      </c>
      <c r="I12" s="6">
        <v>25436.400000000001</v>
      </c>
      <c r="J12" s="6">
        <f>I13/I12</f>
        <v>1.1260162601626016</v>
      </c>
      <c r="K12" s="6"/>
      <c r="L12" s="6"/>
      <c r="N12" s="6"/>
      <c r="P12" s="6"/>
      <c r="Q12" s="6"/>
      <c r="R12" s="6"/>
      <c r="S12" s="6"/>
    </row>
    <row r="13" spans="3:19">
      <c r="C13" s="7">
        <v>16</v>
      </c>
      <c r="D13" s="7"/>
      <c r="E13" s="8">
        <v>31537</v>
      </c>
      <c r="F13" s="8">
        <v>1</v>
      </c>
      <c r="G13" s="8">
        <v>35156</v>
      </c>
      <c r="H13" s="8">
        <v>1</v>
      </c>
      <c r="I13" s="8">
        <v>28641.8</v>
      </c>
      <c r="J13" s="8">
        <v>1</v>
      </c>
      <c r="K13" s="8">
        <v>50710</v>
      </c>
      <c r="L13" s="8">
        <v>1</v>
      </c>
      <c r="M13" s="7"/>
      <c r="N13" s="8"/>
      <c r="O13" s="7"/>
      <c r="P13" s="8">
        <v>1191.28</v>
      </c>
      <c r="Q13" s="8">
        <v>1</v>
      </c>
      <c r="R13" s="8">
        <v>845.33</v>
      </c>
      <c r="S13" s="8">
        <v>1</v>
      </c>
    </row>
    <row r="14" spans="3:19">
      <c r="C14">
        <v>24</v>
      </c>
      <c r="E14" s="6">
        <v>37741</v>
      </c>
      <c r="F14" s="6">
        <f>E16/E14</f>
        <v>1.4684184308841843</v>
      </c>
      <c r="G14" s="6">
        <v>40765.919999999998</v>
      </c>
      <c r="H14" s="6">
        <f>G16/G14</f>
        <v>1.6555294226157535</v>
      </c>
      <c r="I14" s="6">
        <v>34535.599999999999</v>
      </c>
      <c r="J14" s="6">
        <f>I16/I14</f>
        <v>1.5299401197604792</v>
      </c>
      <c r="K14" s="6"/>
      <c r="L14" s="6"/>
      <c r="N14" s="6"/>
      <c r="P14" s="6">
        <v>1243.31</v>
      </c>
      <c r="Q14" s="6">
        <f>P16/P14</f>
        <v>1.5797347403302475</v>
      </c>
      <c r="R14" s="6">
        <v>1114.01</v>
      </c>
      <c r="S14" s="6">
        <f>R16/R14</f>
        <v>1.915440615434332</v>
      </c>
    </row>
    <row r="15" spans="3:19">
      <c r="C15">
        <v>32</v>
      </c>
      <c r="E15" s="6">
        <v>44770.32</v>
      </c>
      <c r="F15" s="6">
        <f>E16/E15</f>
        <v>1.2378642815150751</v>
      </c>
      <c r="G15" s="6">
        <v>48831.12</v>
      </c>
      <c r="H15" s="6">
        <f>G16/G15</f>
        <v>1.3820936320936319</v>
      </c>
      <c r="I15" s="6">
        <v>40429.4</v>
      </c>
      <c r="J15" s="6">
        <f>I16/I15</f>
        <v>1.3069053708439897</v>
      </c>
      <c r="K15" s="6">
        <v>53899</v>
      </c>
      <c r="L15" s="6"/>
      <c r="N15" s="6"/>
      <c r="P15" s="6">
        <v>1321.65</v>
      </c>
      <c r="Q15" s="6">
        <f>P16/P15</f>
        <v>1.4860969242991713</v>
      </c>
      <c r="R15" s="6">
        <v>1350.96</v>
      </c>
      <c r="S15" s="6">
        <f>R16/R15</f>
        <v>1.5794842186297153</v>
      </c>
    </row>
    <row r="16" spans="3:19">
      <c r="C16" s="7">
        <v>48</v>
      </c>
      <c r="D16" s="7"/>
      <c r="E16" s="8">
        <v>55419.58</v>
      </c>
      <c r="F16" s="8">
        <v>1</v>
      </c>
      <c r="G16" s="8">
        <v>67489.179999999993</v>
      </c>
      <c r="H16" s="8">
        <v>1</v>
      </c>
      <c r="I16" s="8">
        <v>52837.4</v>
      </c>
      <c r="J16" s="8">
        <v>1</v>
      </c>
      <c r="K16" s="8"/>
      <c r="L16" s="8"/>
      <c r="M16" s="7"/>
      <c r="N16" s="8">
        <v>44533.440000000002</v>
      </c>
      <c r="O16" s="7"/>
      <c r="P16" s="8">
        <v>1964.1</v>
      </c>
      <c r="Q16" s="8">
        <v>1</v>
      </c>
      <c r="R16" s="8">
        <v>2133.8200000000002</v>
      </c>
      <c r="S16" s="8">
        <v>1</v>
      </c>
    </row>
    <row r="17" spans="3:19">
      <c r="C17">
        <v>64</v>
      </c>
      <c r="E17" s="6">
        <v>67520.2</v>
      </c>
      <c r="F17" s="6">
        <f>E16/E17</f>
        <v>0.82078518724766814</v>
      </c>
      <c r="G17" s="6">
        <v>79928.2</v>
      </c>
      <c r="H17" s="6">
        <f>G16/G17</f>
        <v>0.84437257438551094</v>
      </c>
      <c r="I17" s="6"/>
      <c r="J17" s="6"/>
      <c r="K17" s="6">
        <v>87242</v>
      </c>
      <c r="L17" s="6"/>
      <c r="N17" s="6"/>
      <c r="P17" s="6">
        <v>4263.93</v>
      </c>
      <c r="Q17" s="6"/>
      <c r="R17" s="6">
        <v>2791.69</v>
      </c>
      <c r="S17" s="6"/>
    </row>
    <row r="18" spans="3:19">
      <c r="C18">
        <v>72</v>
      </c>
      <c r="E18" s="6">
        <v>72079.199999999997</v>
      </c>
      <c r="F18" s="6">
        <f>E16/E18</f>
        <v>0.76887063119457488</v>
      </c>
      <c r="G18" s="6"/>
      <c r="H18" s="6"/>
      <c r="I18" s="6"/>
      <c r="J18" s="6"/>
      <c r="K18" s="6"/>
      <c r="L18" s="6"/>
      <c r="N18" s="6"/>
      <c r="P18" s="6"/>
      <c r="Q18" s="6"/>
      <c r="R18" s="6"/>
      <c r="S18" s="6"/>
    </row>
    <row r="19" spans="3:19">
      <c r="C19">
        <v>96</v>
      </c>
      <c r="E19" s="6">
        <v>88710.56</v>
      </c>
      <c r="F19" s="6">
        <f>E16/E19</f>
        <v>0.62472359547724654</v>
      </c>
      <c r="G19" s="6">
        <v>104227.2</v>
      </c>
      <c r="H19" s="6">
        <f>G16/G19</f>
        <v>0.64751984126984119</v>
      </c>
      <c r="I19" s="6">
        <v>89958</v>
      </c>
      <c r="J19" s="6">
        <f>I16/I19</f>
        <v>0.58735632183908049</v>
      </c>
      <c r="K19" s="6"/>
      <c r="L19" s="6"/>
      <c r="N19" s="6"/>
      <c r="P19" s="6">
        <v>4514.21</v>
      </c>
      <c r="Q19" s="6"/>
      <c r="R19" s="6">
        <v>3896.54</v>
      </c>
      <c r="S19" s="6"/>
    </row>
    <row r="20" spans="3:19">
      <c r="N20" s="6"/>
      <c r="P20" s="6"/>
      <c r="Q20" s="6"/>
      <c r="R20" s="6"/>
      <c r="S20" s="6"/>
    </row>
    <row r="21" spans="3:19">
      <c r="N21" s="6"/>
      <c r="P21" s="6"/>
      <c r="Q21" s="6"/>
      <c r="R21" s="6"/>
      <c r="S21" s="6"/>
    </row>
    <row r="22" spans="3:19">
      <c r="N22" s="6"/>
      <c r="P22" s="6"/>
      <c r="Q22" s="6"/>
      <c r="R22" s="6"/>
      <c r="S22" s="6"/>
    </row>
    <row r="23" spans="3:19">
      <c r="N23" s="6"/>
      <c r="P23" s="6"/>
      <c r="Q23" s="6"/>
      <c r="R23" s="6"/>
      <c r="S23" s="6"/>
    </row>
    <row r="24" spans="3:19">
      <c r="I24">
        <v>27444.05</v>
      </c>
      <c r="K24" s="6">
        <f>G16+P16-G14-P14</f>
        <v>27444.05</v>
      </c>
      <c r="N24" s="6"/>
      <c r="P24" s="6"/>
      <c r="Q24" s="6"/>
      <c r="R24" s="6"/>
      <c r="S24" s="6"/>
    </row>
    <row r="25" spans="3:19">
      <c r="E25" s="6">
        <f>E16/E13</f>
        <v>1.7572876304023846</v>
      </c>
      <c r="F25" s="6"/>
      <c r="G25" s="6"/>
      <c r="H25" s="6"/>
      <c r="I25" s="6">
        <f>I13/I11</f>
        <v>1.2941726129799525</v>
      </c>
      <c r="J25" s="6"/>
      <c r="K25" s="6">
        <f>G16+P16-G15-P15</f>
        <v>19300.509999999995</v>
      </c>
      <c r="L25" s="6"/>
      <c r="M25" s="6"/>
      <c r="N25" s="6"/>
      <c r="O25" s="6"/>
      <c r="P25" s="6"/>
      <c r="Q25" s="6"/>
      <c r="R25" s="6"/>
      <c r="S25" s="6"/>
    </row>
    <row r="26" spans="3:19">
      <c r="E26" s="6"/>
      <c r="F26" s="6"/>
      <c r="G26" s="6"/>
      <c r="H26" s="6"/>
      <c r="I26" s="6">
        <v>18399.37</v>
      </c>
      <c r="J26" s="6"/>
      <c r="K26" s="6">
        <f>G13+P13-G12-P13</f>
        <v>2679.4000000000005</v>
      </c>
      <c r="L26" s="6"/>
      <c r="M26" s="6"/>
      <c r="N26" s="6"/>
      <c r="O26" s="6"/>
      <c r="P26" s="6"/>
      <c r="Q26" s="6"/>
      <c r="R26" s="6"/>
      <c r="S26" s="6"/>
    </row>
    <row r="27" spans="3:19">
      <c r="E27" s="6"/>
      <c r="F27" s="6"/>
      <c r="G27" s="6"/>
      <c r="H27" s="6"/>
      <c r="I27" s="6">
        <v>19300.509999999998</v>
      </c>
      <c r="J27" s="6"/>
      <c r="K27" s="6">
        <f>E16+P16-E14-P14</f>
        <v>18399.37</v>
      </c>
      <c r="L27" s="6"/>
      <c r="M27" s="6"/>
      <c r="N27" s="6"/>
      <c r="O27" s="6"/>
      <c r="P27" s="6"/>
      <c r="Q27" s="6"/>
      <c r="R27" s="6"/>
      <c r="S27" s="6"/>
    </row>
    <row r="28" spans="3:19">
      <c r="E28" s="6"/>
      <c r="F28" s="6"/>
      <c r="G28" s="6"/>
      <c r="H28" s="6"/>
      <c r="I28" s="6">
        <v>3205.4</v>
      </c>
      <c r="J28" s="6"/>
      <c r="K28" s="6">
        <f>I13+P13-I12-P13</f>
        <v>3205.3999999999969</v>
      </c>
      <c r="L28" s="6"/>
      <c r="M28" s="6"/>
      <c r="N28" s="6"/>
      <c r="O28" s="6"/>
      <c r="P28" s="6"/>
      <c r="Q28" s="6"/>
      <c r="R28" s="6"/>
      <c r="S28" s="6"/>
    </row>
    <row r="29" spans="3:19">
      <c r="E29" s="6"/>
      <c r="F29" s="6"/>
      <c r="G29" s="6"/>
      <c r="H29" s="6"/>
      <c r="I29" s="6"/>
      <c r="J29" s="6"/>
      <c r="K29" s="6">
        <f>I13+P13-I11-P11</f>
        <v>6799.1299999999974</v>
      </c>
      <c r="L29" s="6"/>
      <c r="M29" s="6"/>
      <c r="N29" s="6"/>
      <c r="O29" s="6"/>
      <c r="P29" s="6"/>
      <c r="Q29" s="6"/>
      <c r="R29" s="6"/>
      <c r="S29" s="6"/>
    </row>
    <row r="30" spans="3:19">
      <c r="E30" s="6"/>
      <c r="F30" s="6"/>
      <c r="G30" s="6"/>
      <c r="H30" s="6"/>
      <c r="I30" s="6">
        <v>11291.71</v>
      </c>
      <c r="J30" s="6"/>
      <c r="K30" s="6">
        <f>E13+P13-E11-P11</f>
        <v>9243.1299999999974</v>
      </c>
      <c r="L30" s="6"/>
      <c r="M30" s="6"/>
      <c r="N30" s="6"/>
      <c r="O30" s="6"/>
      <c r="P30" s="6"/>
      <c r="Q30" s="6"/>
      <c r="R30" s="6"/>
      <c r="S30" s="6"/>
    </row>
    <row r="31" spans="3:19">
      <c r="E31" s="6"/>
      <c r="F31" s="6"/>
      <c r="G31" s="6"/>
      <c r="H31" s="6"/>
      <c r="I31" s="6">
        <f>I16+P16-I15-P15</f>
        <v>13050.449999999999</v>
      </c>
      <c r="J31" s="6"/>
      <c r="K31" s="6"/>
      <c r="L31" s="6"/>
      <c r="M31" s="6"/>
      <c r="N31" s="6"/>
      <c r="O31" s="6"/>
    </row>
    <row r="32" spans="3:19">
      <c r="E32" s="6"/>
      <c r="F32" s="6"/>
      <c r="G32" s="6"/>
      <c r="H32" s="6"/>
      <c r="I32" s="6"/>
      <c r="J32" s="6"/>
      <c r="K32" s="6">
        <f>I13+P13-I10-P11</f>
        <v>9181.0899999999965</v>
      </c>
      <c r="L32" s="6"/>
      <c r="M32" s="6"/>
      <c r="N32" s="6"/>
      <c r="O32" s="6"/>
    </row>
    <row r="33" spans="5:15">
      <c r="E33" s="6"/>
      <c r="F33" s="6"/>
      <c r="G33" s="6"/>
      <c r="H33" s="6"/>
      <c r="I33" s="6">
        <v>9243.1299999999992</v>
      </c>
      <c r="J33" s="6"/>
      <c r="K33" s="6"/>
      <c r="L33" s="6"/>
      <c r="M33" s="6"/>
      <c r="N33" s="6"/>
      <c r="O33" s="6"/>
    </row>
    <row r="34" spans="5:15">
      <c r="E34" s="6"/>
      <c r="F34" s="6"/>
      <c r="G34" s="6"/>
      <c r="H34" s="6"/>
      <c r="I34" s="6">
        <v>6799.13</v>
      </c>
      <c r="J34" s="6"/>
      <c r="K34" s="6">
        <f>E16+P16-E15-P15</f>
        <v>11291.710000000001</v>
      </c>
      <c r="L34" s="6"/>
      <c r="M34" s="6"/>
      <c r="N34" s="6"/>
      <c r="O34" s="6"/>
    </row>
    <row r="35" spans="5:15">
      <c r="E35" s="6"/>
      <c r="F35" s="6"/>
      <c r="G35" s="6"/>
      <c r="H35" s="6"/>
      <c r="I35" s="6"/>
      <c r="J35" s="6"/>
      <c r="K35" s="6"/>
      <c r="L35" s="6"/>
      <c r="M35" s="6"/>
      <c r="N35" s="6"/>
      <c r="O35" s="6"/>
    </row>
    <row r="36" spans="5:15">
      <c r="E36" s="6"/>
      <c r="F36" s="6"/>
      <c r="G36" s="6"/>
      <c r="H36" s="6"/>
      <c r="I36" s="6">
        <v>9181.09</v>
      </c>
      <c r="J36" s="6"/>
      <c r="K36" s="6">
        <f>I16+P16-I14-P14</f>
        <v>19022.59</v>
      </c>
      <c r="L36" s="6"/>
      <c r="M36" s="6"/>
      <c r="N36" s="6"/>
      <c r="O36" s="6"/>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FWXPAAYJEK5K-13-866</_dlc_DocId>
    <_dlc_DocIdUrl xmlns="5e6c0303-ad91-48bf-9137-7f71397ddaf7">
      <Url>http://sps.bis.bashtel.ru/ts/oks/_layouts/15/DocIdRedir.aspx?ID=FWXPAAYJEK5K-13-866</Url>
      <Description>FWXPAAYJEK5K-13-866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3.xml><?xml version="1.0" encoding="utf-8"?>
<ds:datastoreItem xmlns:ds="http://schemas.openxmlformats.org/officeDocument/2006/customXml" ds:itemID="{EA0F87C2-439D-4D0E-BA5D-26B2858DF7AC}">
  <ds:schemaRefs>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5e6c0303-ad91-48bf-9137-7f71397ddaf7"/>
    <ds:schemaRef ds:uri="http://purl.org/dc/terms/"/>
  </ds:schemaRefs>
</ds:datastoreItem>
</file>

<file path=customXml/itemProps4.xml><?xml version="1.0" encoding="utf-8"?>
<ds:datastoreItem xmlns:ds="http://schemas.openxmlformats.org/officeDocument/2006/customXml" ds:itemID="{B5305152-5995-4C17-BFC2-0E329D8BA5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PON-7</vt:lpstr>
      <vt:lpstr>Лист1</vt:lpstr>
      <vt:lpstr>'УР PON-7'!Область_печати</vt:lpstr>
    </vt:vector>
  </TitlesOfParts>
  <Company>ПАО Башинформсвязь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УР 2018</dc:title>
  <dc:creator>ОСТИ ПАО Башинформвязь</dc:creator>
  <dc:description>ОСТИ</dc:description>
  <cp:lastModifiedBy>Данилова Татьяна Владимировна</cp:lastModifiedBy>
  <cp:lastPrinted>2019-06-10T11:28:29Z</cp:lastPrinted>
  <dcterms:created xsi:type="dcterms:W3CDTF">2015-10-20T08:32:48Z</dcterms:created>
  <dcterms:modified xsi:type="dcterms:W3CDTF">2019-06-10T11:32:56Z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60656cd6-5ac2-4f33-bb15-57a5a37ce009</vt:lpwstr>
  </property>
  <property fmtid="{D5CDD505-2E9C-101B-9397-08002B2CF9AE}" pid="3" name="ContentTypeId">
    <vt:lpwstr>0x0101003DB32614A8CA5645998060F890075BA2</vt:lpwstr>
  </property>
</Properties>
</file>